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mc:AlternateContent xmlns:mc="http://schemas.openxmlformats.org/markup-compatibility/2006">
    <mc:Choice Requires="x15">
      <x15ac:absPath xmlns:x15ac="http://schemas.microsoft.com/office/spreadsheetml/2010/11/ac" url="\\inas01\engei\R08園芸振興（共有）\113 さくらんぼ結実確保緊急支援事業\01 要望調査\00 準備\"/>
    </mc:Choice>
  </mc:AlternateContent>
  <xr:revisionPtr revIDLastSave="0" documentId="13_ncr:1_{F58989F1-BB38-496F-A994-FDBB8503CB92}" xr6:coauthVersionLast="47" xr6:coauthVersionMax="47" xr10:uidLastSave="{00000000-0000-0000-0000-000000000000}"/>
  <bookViews>
    <workbookView xWindow="-108" yWindow="-108" windowWidth="23256" windowHeight="12456" tabRatio="759" xr2:uid="{00000000-000D-0000-FFFF-FFFF00000000}"/>
  </bookViews>
  <sheets>
    <sheet name="合計" sheetId="1" r:id="rId1"/>
    <sheet name="買取りミツバチ" sheetId="5" r:id="rId2"/>
    <sheet name="リースミツバチ" sheetId="12" r:id="rId3"/>
    <sheet name="輸入花粉" sheetId="9" r:id="rId4"/>
  </sheets>
  <definedNames>
    <definedName name="Excel_BuiltIn_Print_Titles_1" localSheetId="2">#REF!</definedName>
    <definedName name="Excel_BuiltIn_Print_Titles_1" localSheetId="1">#REF!</definedName>
    <definedName name="Excel_BuiltIn_Print_Titles_1" localSheetId="3">#REF!</definedName>
    <definedName name="Excel_BuiltIn_Print_Titles_1">#REF!</definedName>
    <definedName name="_xlnm.Print_Area" localSheetId="2">リースミツバチ!$A$1:$T$18</definedName>
    <definedName name="_xlnm.Print_Area" localSheetId="0">合計!$A$1:$K$12</definedName>
    <definedName name="_xlnm.Print_Area" localSheetId="1">買取りミツバチ!$A$1:$T$18</definedName>
    <definedName name="_xlnm.Print_Area" localSheetId="3">輸入花粉!$A$1:$T$18</definedName>
    <definedName name="_xlnm.Print_Titles" localSheetId="2">リースミツバチ!$4:$5</definedName>
    <definedName name="_xlnm.Print_Titles" localSheetId="1">買取りミツバチ!$4:$5</definedName>
    <definedName name="_xlnm.Print_Titles" localSheetId="3">輸入花粉!$4:$5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1" l="1"/>
  <c r="E10" i="1"/>
  <c r="P7" i="1" l="1"/>
  <c r="I7" i="1" l="1"/>
  <c r="P8" i="1"/>
  <c r="F7" i="1" s="1"/>
  <c r="K6" i="9"/>
  <c r="G7" i="1" l="1"/>
  <c r="H7" i="1" s="1"/>
  <c r="R6" i="12" a="1"/>
  <c r="R6" i="12" s="1"/>
  <c r="S6" i="12" s="1"/>
  <c r="O16" i="12"/>
  <c r="L16" i="12"/>
  <c r="D8" i="1" s="1"/>
  <c r="I16" i="12"/>
  <c r="R15" i="12" a="1"/>
  <c r="R15" i="12" s="1"/>
  <c r="S15" i="12" s="1"/>
  <c r="P15" i="12"/>
  <c r="N15" i="12" s="1"/>
  <c r="Q15" i="12" s="1"/>
  <c r="K15" i="12"/>
  <c r="R14" i="12" a="1"/>
  <c r="R14" i="12" s="1"/>
  <c r="S14" i="12" s="1"/>
  <c r="T14" i="12" s="1"/>
  <c r="Q14" i="12"/>
  <c r="P14" i="12"/>
  <c r="N14" i="12" s="1"/>
  <c r="K14" i="12"/>
  <c r="R13" i="12" a="1"/>
  <c r="R13" i="12" s="1"/>
  <c r="S13" i="12" s="1"/>
  <c r="T13" i="12" s="1"/>
  <c r="Q13" i="12"/>
  <c r="P13" i="12"/>
  <c r="N13" i="12" s="1"/>
  <c r="K13" i="12"/>
  <c r="R12" i="12" a="1"/>
  <c r="R12" i="12" s="1"/>
  <c r="S12" i="12" s="1"/>
  <c r="P12" i="12"/>
  <c r="N12" i="12" s="1"/>
  <c r="Q12" i="12" s="1"/>
  <c r="K12" i="12"/>
  <c r="X11" i="12"/>
  <c r="W11" i="12"/>
  <c r="V11" i="12"/>
  <c r="U11" i="12"/>
  <c r="R11" i="12" a="1"/>
  <c r="R11" i="12" s="1"/>
  <c r="S11" i="12" s="1"/>
  <c r="P11" i="12"/>
  <c r="N11" i="12" s="1"/>
  <c r="Q11" i="12" s="1"/>
  <c r="K11" i="12"/>
  <c r="R10" i="12" a="1"/>
  <c r="R10" i="12" s="1"/>
  <c r="S10" i="12" s="1"/>
  <c r="P10" i="12"/>
  <c r="N10" i="12" s="1"/>
  <c r="Q10" i="12" s="1"/>
  <c r="K10" i="12"/>
  <c r="R9" i="12" a="1"/>
  <c r="R9" i="12" s="1"/>
  <c r="S9" i="12" s="1"/>
  <c r="P9" i="12"/>
  <c r="N9" i="12" s="1"/>
  <c r="Q9" i="12" s="1"/>
  <c r="K9" i="12"/>
  <c r="R8" i="12" a="1"/>
  <c r="R8" i="12" s="1"/>
  <c r="S8" i="12" s="1"/>
  <c r="T8" i="12" s="1"/>
  <c r="P8" i="12"/>
  <c r="N8" i="12" s="1"/>
  <c r="Q8" i="12" s="1"/>
  <c r="K8" i="12"/>
  <c r="R7" i="12" a="1"/>
  <c r="R7" i="12" s="1"/>
  <c r="S7" i="12" s="1"/>
  <c r="T7" i="12" s="1"/>
  <c r="Q7" i="12"/>
  <c r="P7" i="12"/>
  <c r="N7" i="12" s="1"/>
  <c r="K7" i="12"/>
  <c r="P6" i="12"/>
  <c r="K6" i="12"/>
  <c r="T15" i="12" l="1"/>
  <c r="T12" i="12"/>
  <c r="T11" i="12"/>
  <c r="T10" i="12"/>
  <c r="T9" i="12"/>
  <c r="P16" i="12"/>
  <c r="K16" i="12"/>
  <c r="C8" i="1" s="1"/>
  <c r="N6" i="12"/>
  <c r="N16" i="12" l="1"/>
  <c r="Q6" i="12"/>
  <c r="T6" i="12"/>
  <c r="T16" i="12" s="1"/>
  <c r="Q15" i="9"/>
  <c r="N15" i="9"/>
  <c r="K15" i="9"/>
  <c r="K14" i="9"/>
  <c r="P7" i="9"/>
  <c r="P8" i="9"/>
  <c r="P9" i="9"/>
  <c r="P10" i="9"/>
  <c r="P11" i="9"/>
  <c r="P12" i="9"/>
  <c r="P13" i="9"/>
  <c r="P14" i="9"/>
  <c r="P15" i="9"/>
  <c r="P6" i="9"/>
  <c r="Q15" i="5"/>
  <c r="P15" i="5"/>
  <c r="K15" i="5"/>
  <c r="N15" i="5"/>
  <c r="P8" i="5"/>
  <c r="P9" i="5"/>
  <c r="P10" i="5"/>
  <c r="P11" i="5"/>
  <c r="P12" i="5"/>
  <c r="P13" i="5"/>
  <c r="P14" i="5"/>
  <c r="P7" i="5"/>
  <c r="P6" i="5"/>
  <c r="P16" i="5" s="1"/>
  <c r="T14" i="9"/>
  <c r="T12" i="9"/>
  <c r="S11" i="9"/>
  <c r="T11" i="9" s="1"/>
  <c r="S12" i="9"/>
  <c r="S13" i="9"/>
  <c r="T13" i="9" s="1"/>
  <c r="S14" i="9"/>
  <c r="S15" i="9"/>
  <c r="T15" i="9" s="1"/>
  <c r="T11" i="5"/>
  <c r="T12" i="5"/>
  <c r="T13" i="5"/>
  <c r="T14" i="5"/>
  <c r="T15" i="5"/>
  <c r="E8" i="1" l="1"/>
  <c r="AF8" i="12"/>
  <c r="AG6" i="12" s="1"/>
  <c r="W6" i="12"/>
  <c r="AF6" i="12"/>
  <c r="E3" i="1"/>
  <c r="C3" i="1"/>
  <c r="R15" i="9" a="1"/>
  <c r="R15" i="9" s="1"/>
  <c r="R14" i="9" a="1"/>
  <c r="R14" i="9" s="1"/>
  <c r="R13" i="9" a="1"/>
  <c r="R13" i="9" s="1"/>
  <c r="R12" i="9" a="1"/>
  <c r="R12" i="9" s="1"/>
  <c r="R11" i="9" a="1"/>
  <c r="R11" i="9" s="1"/>
  <c r="R10" i="9" a="1"/>
  <c r="R10" i="9" s="1"/>
  <c r="S10" i="9" s="1"/>
  <c r="T10" i="9" s="1"/>
  <c r="R9" i="9" a="1"/>
  <c r="R9" i="9" s="1"/>
  <c r="S9" i="9" s="1"/>
  <c r="T9" i="9" s="1"/>
  <c r="R8" i="9" a="1"/>
  <c r="R8" i="9" s="1"/>
  <c r="S8" i="9" s="1"/>
  <c r="T8" i="9" s="1"/>
  <c r="R7" i="9" a="1"/>
  <c r="R7" i="9" s="1"/>
  <c r="S7" i="9" s="1"/>
  <c r="T7" i="9" s="1"/>
  <c r="R6" i="9" a="1"/>
  <c r="R6" i="9" s="1"/>
  <c r="S6" i="9" s="1"/>
  <c r="S11" i="5"/>
  <c r="S12" i="5"/>
  <c r="S13" i="5"/>
  <c r="S14" i="5"/>
  <c r="S15" i="5"/>
  <c r="R8" i="5" a="1"/>
  <c r="R8" i="5" s="1"/>
  <c r="S8" i="5" s="1"/>
  <c r="T8" i="5" s="1"/>
  <c r="R9" i="5" a="1"/>
  <c r="R9" i="5" s="1"/>
  <c r="S9" i="5" s="1"/>
  <c r="R10" i="5" a="1"/>
  <c r="R10" i="5" s="1"/>
  <c r="S10" i="5" s="1"/>
  <c r="T10" i="5" s="1"/>
  <c r="R11" i="5" a="1"/>
  <c r="R11" i="5"/>
  <c r="R12" i="5" a="1"/>
  <c r="R12" i="5" s="1"/>
  <c r="R13" i="5" a="1"/>
  <c r="R13" i="5" s="1"/>
  <c r="R14" i="5" a="1"/>
  <c r="R14" i="5" s="1"/>
  <c r="R15" i="5" a="1"/>
  <c r="R15" i="5" s="1"/>
  <c r="R6" i="5" a="1"/>
  <c r="R6" i="5" s="1"/>
  <c r="S6" i="5" s="1"/>
  <c r="R7" i="5" a="1"/>
  <c r="R7" i="5" s="1"/>
  <c r="S7" i="5" s="1"/>
  <c r="Q10" i="5"/>
  <c r="Q8" i="5"/>
  <c r="I16" i="9"/>
  <c r="U6" i="12" l="1"/>
  <c r="O16" i="9"/>
  <c r="L16" i="9"/>
  <c r="D9" i="1" s="1"/>
  <c r="Q14" i="9"/>
  <c r="N14" i="9"/>
  <c r="Q13" i="9"/>
  <c r="N13" i="9"/>
  <c r="K13" i="9"/>
  <c r="Q12" i="9"/>
  <c r="N12" i="9"/>
  <c r="K12" i="9"/>
  <c r="X11" i="9"/>
  <c r="W11" i="9"/>
  <c r="V11" i="9"/>
  <c r="U11" i="9"/>
  <c r="Q11" i="9"/>
  <c r="N11" i="9"/>
  <c r="K11" i="9"/>
  <c r="Q10" i="9"/>
  <c r="N10" i="9"/>
  <c r="K10" i="9"/>
  <c r="N9" i="9"/>
  <c r="K9" i="9"/>
  <c r="N8" i="9"/>
  <c r="Q8" i="9" s="1"/>
  <c r="K8" i="9"/>
  <c r="N7" i="9"/>
  <c r="K7" i="9"/>
  <c r="N6" i="9"/>
  <c r="T6" i="9" s="1"/>
  <c r="Q14" i="5"/>
  <c r="Q13" i="5"/>
  <c r="Q12" i="5"/>
  <c r="Q11" i="5"/>
  <c r="W11" i="5"/>
  <c r="V11" i="5"/>
  <c r="I16" i="5"/>
  <c r="N7" i="5"/>
  <c r="Q7" i="5" s="1"/>
  <c r="K7" i="5"/>
  <c r="K6" i="5"/>
  <c r="V6" i="12" l="1"/>
  <c r="Y6" i="12" s="1"/>
  <c r="T7" i="5"/>
  <c r="Q7" i="9"/>
  <c r="P16" i="9"/>
  <c r="K16" i="9"/>
  <c r="Q9" i="9"/>
  <c r="N16" i="9"/>
  <c r="Q6" i="9"/>
  <c r="N6" i="5"/>
  <c r="X6" i="12" l="1"/>
  <c r="AA16" i="12" s="1"/>
  <c r="Q6" i="5"/>
  <c r="T6" i="5"/>
  <c r="T16" i="9"/>
  <c r="C9" i="1"/>
  <c r="C10" i="1" s="1"/>
  <c r="O16" i="5"/>
  <c r="L16" i="5"/>
  <c r="D7" i="1" s="1"/>
  <c r="D10" i="1" s="1"/>
  <c r="N14" i="5"/>
  <c r="K14" i="5"/>
  <c r="N13" i="5"/>
  <c r="K13" i="5"/>
  <c r="N12" i="5"/>
  <c r="K12" i="5"/>
  <c r="U11" i="5"/>
  <c r="N11" i="5"/>
  <c r="K11" i="5"/>
  <c r="N10" i="5"/>
  <c r="K10" i="5"/>
  <c r="N9" i="5"/>
  <c r="K9" i="5"/>
  <c r="K8" i="5"/>
  <c r="E9" i="1" l="1"/>
  <c r="AF8" i="9"/>
  <c r="AG6" i="9" s="1"/>
  <c r="Q9" i="5"/>
  <c r="T9" i="5"/>
  <c r="W6" i="9"/>
  <c r="AF6" i="9"/>
  <c r="K16" i="5"/>
  <c r="N8" i="5"/>
  <c r="U6" i="9" l="1"/>
  <c r="V6" i="9" s="1"/>
  <c r="C7" i="1"/>
  <c r="N16" i="5"/>
  <c r="T16" i="5"/>
  <c r="AF8" i="5" l="1"/>
  <c r="W6" i="5"/>
  <c r="X6" i="9"/>
  <c r="Y6" i="9"/>
  <c r="AG6" i="5"/>
  <c r="AF6" i="5"/>
  <c r="E7" i="1"/>
  <c r="AA16" i="9" l="1"/>
  <c r="U6" i="5"/>
  <c r="X11" i="5"/>
  <c r="V6" i="5" l="1"/>
  <c r="Y6" i="5" s="1"/>
  <c r="X6" i="5"/>
  <c r="AA16" i="5" l="1"/>
  <c r="J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<sst xmlns="http://schemas.openxmlformats.org/spreadsheetml/2006/main" count="193" uniqueCount="76">
  <si>
    <t>市町村</t>
    <rPh sb="0" eb="3">
      <t>シチョウソン</t>
    </rPh>
    <phoneticPr fontId="10"/>
  </si>
  <si>
    <t>総事業費
（税込）</t>
    <rPh sb="0" eb="4">
      <t>ソウジギョウヒ</t>
    </rPh>
    <rPh sb="6" eb="8">
      <t>ゼイコミ</t>
    </rPh>
    <phoneticPr fontId="3"/>
  </si>
  <si>
    <t>補助対象者
課税区分</t>
    <rPh sb="0" eb="5">
      <t>ホジョタイショウシャ</t>
    </rPh>
    <rPh sb="6" eb="10">
      <t>カゼイクブン</t>
    </rPh>
    <phoneticPr fontId="3"/>
  </si>
  <si>
    <t>県補助金額</t>
    <rPh sb="0" eb="1">
      <t>ケン</t>
    </rPh>
    <rPh sb="1" eb="3">
      <t>ホジョ</t>
    </rPh>
    <rPh sb="3" eb="5">
      <t>キンガク</t>
    </rPh>
    <phoneticPr fontId="10"/>
  </si>
  <si>
    <t>本則課税</t>
    <rPh sb="0" eb="4">
      <t>ホンソクカゼイ</t>
    </rPh>
    <phoneticPr fontId="3"/>
  </si>
  <si>
    <t>市町村
補助金額</t>
    <rPh sb="0" eb="3">
      <t>シチョウソン</t>
    </rPh>
    <rPh sb="4" eb="7">
      <t>ホジョキン</t>
    </rPh>
    <rPh sb="7" eb="8">
      <t>ガク</t>
    </rPh>
    <phoneticPr fontId="10"/>
  </si>
  <si>
    <t>総事業費
（税抜）</t>
    <rPh sb="0" eb="4">
      <t>ソウジギョウヒ</t>
    </rPh>
    <rPh sb="6" eb="8">
      <t>ゼイヌ</t>
    </rPh>
    <phoneticPr fontId="3"/>
  </si>
  <si>
    <t>簡易又は免税</t>
    <rPh sb="0" eb="2">
      <t>カンイ</t>
    </rPh>
    <rPh sb="2" eb="3">
      <t>マタ</t>
    </rPh>
    <rPh sb="4" eb="6">
      <t>メンゼイ</t>
    </rPh>
    <phoneticPr fontId="3"/>
  </si>
  <si>
    <t>№</t>
  </si>
  <si>
    <t>市町村</t>
  </si>
  <si>
    <t>補助対象
資材費
（税込）</t>
    <rPh sb="0" eb="2">
      <t>ホジョ</t>
    </rPh>
    <rPh sb="2" eb="4">
      <t>タイショウ</t>
    </rPh>
    <rPh sb="5" eb="7">
      <t>シザイ</t>
    </rPh>
    <rPh sb="7" eb="8">
      <t>ヒ</t>
    </rPh>
    <rPh sb="10" eb="12">
      <t>ゼイコ</t>
    </rPh>
    <phoneticPr fontId="10"/>
  </si>
  <si>
    <t>消費税</t>
    <rPh sb="0" eb="3">
      <t>ショウヒゼイ</t>
    </rPh>
    <phoneticPr fontId="10"/>
  </si>
  <si>
    <t>総事業費（税込）</t>
    <rPh sb="0" eb="4">
      <t>ソウジギョウヒ</t>
    </rPh>
    <rPh sb="5" eb="7">
      <t>ゼイコミ</t>
    </rPh>
    <phoneticPr fontId="3"/>
  </si>
  <si>
    <t>事業実施
主体名</t>
    <rPh sb="0" eb="2">
      <t>ジギョウ</t>
    </rPh>
    <rPh sb="2" eb="4">
      <t>ジッシ</t>
    </rPh>
    <rPh sb="5" eb="7">
      <t>シュタイ</t>
    </rPh>
    <rPh sb="7" eb="8">
      <t>ナ</t>
    </rPh>
    <phoneticPr fontId="10"/>
  </si>
  <si>
    <t>実施主体
負担分</t>
    <rPh sb="0" eb="2">
      <t>ジッシ</t>
    </rPh>
    <rPh sb="2" eb="4">
      <t>シュタイ</t>
    </rPh>
    <rPh sb="5" eb="7">
      <t>フタン</t>
    </rPh>
    <rPh sb="7" eb="8">
      <t>ブン</t>
    </rPh>
    <phoneticPr fontId="3"/>
  </si>
  <si>
    <t xml:space="preserve">市町村支援
</t>
    <rPh sb="3" eb="5">
      <t>シエン</t>
    </rPh>
    <phoneticPr fontId="10"/>
  </si>
  <si>
    <t xml:space="preserve">末端交付額
</t>
    <rPh sb="0" eb="2">
      <t>マッタン</t>
    </rPh>
    <rPh sb="2" eb="5">
      <t>コウフガク</t>
    </rPh>
    <phoneticPr fontId="10"/>
  </si>
  <si>
    <t>総事業費（税抜）</t>
    <rPh sb="0" eb="4">
      <t>ソウジギョウヒ</t>
    </rPh>
    <rPh sb="5" eb="7">
      <t>ゼイヌ</t>
    </rPh>
    <phoneticPr fontId="3"/>
  </si>
  <si>
    <t>補助対象経費</t>
    <rPh sb="0" eb="2">
      <t>ホジョ</t>
    </rPh>
    <rPh sb="2" eb="4">
      <t>タイショウ</t>
    </rPh>
    <rPh sb="4" eb="6">
      <t>ケイヒ</t>
    </rPh>
    <phoneticPr fontId="10"/>
  </si>
  <si>
    <t xml:space="preserve">実施主体
負担分
</t>
    <rPh sb="0" eb="2">
      <t>ジッシ</t>
    </rPh>
    <rPh sb="2" eb="4">
      <t>シュタイ</t>
    </rPh>
    <rPh sb="5" eb="7">
      <t>フタン</t>
    </rPh>
    <rPh sb="7" eb="8">
      <t>ブン</t>
    </rPh>
    <phoneticPr fontId="3"/>
  </si>
  <si>
    <t>単位：円</t>
    <rPh sb="0" eb="2">
      <t>タンイ</t>
    </rPh>
    <rPh sb="3" eb="4">
      <t>エン</t>
    </rPh>
    <phoneticPr fontId="3"/>
  </si>
  <si>
    <t>補助対象
資材費
（税抜）</t>
    <rPh sb="0" eb="2">
      <t>ホジョ</t>
    </rPh>
    <rPh sb="2" eb="4">
      <t>タイショウ</t>
    </rPh>
    <rPh sb="5" eb="7">
      <t>シザイ</t>
    </rPh>
    <rPh sb="7" eb="8">
      <t>ヒ</t>
    </rPh>
    <rPh sb="10" eb="12">
      <t>ゼイヌ</t>
    </rPh>
    <phoneticPr fontId="10"/>
  </si>
  <si>
    <t>取組主体名</t>
    <rPh sb="0" eb="4">
      <t>トリクミシュタイ</t>
    </rPh>
    <rPh sb="4" eb="5">
      <t>メイ</t>
    </rPh>
    <phoneticPr fontId="3"/>
  </si>
  <si>
    <t>山形市</t>
    <rPh sb="0" eb="3">
      <t>ヤマガタシ</t>
    </rPh>
    <phoneticPr fontId="3"/>
  </si>
  <si>
    <t>群</t>
    <rPh sb="0" eb="1">
      <t>グン</t>
    </rPh>
    <phoneticPr fontId="3"/>
  </si>
  <si>
    <t>規格</t>
    <rPh sb="0" eb="2">
      <t>キカク</t>
    </rPh>
    <phoneticPr fontId="3"/>
  </si>
  <si>
    <t>導入数</t>
    <rPh sb="0" eb="3">
      <t>ドウニュウスウ</t>
    </rPh>
    <phoneticPr fontId="3"/>
  </si>
  <si>
    <t>補助率</t>
    <rPh sb="0" eb="3">
      <t>ホジョリツ</t>
    </rPh>
    <phoneticPr fontId="3"/>
  </si>
  <si>
    <t>県</t>
    <rPh sb="0" eb="1">
      <t>ケン</t>
    </rPh>
    <phoneticPr fontId="3"/>
  </si>
  <si>
    <t>市町村</t>
    <rPh sb="0" eb="3">
      <t>シチョウソン</t>
    </rPh>
    <phoneticPr fontId="3"/>
  </si>
  <si>
    <t>/</t>
    <phoneticPr fontId="3"/>
  </si>
  <si>
    <t>団体・市場</t>
    <rPh sb="0" eb="2">
      <t>ダンタイ</t>
    </rPh>
    <rPh sb="3" eb="5">
      <t>シジョウ</t>
    </rPh>
    <phoneticPr fontId="3"/>
  </si>
  <si>
    <t>さくらんぼ結実確保緊急支援事業費補助金【買取りミツバチ】　補助金額計算書</t>
    <rPh sb="5" eb="9">
      <t>ケツジツカクホ</t>
    </rPh>
    <rPh sb="9" eb="13">
      <t>キンキュウシエン</t>
    </rPh>
    <rPh sb="16" eb="19">
      <t>ホジョキン</t>
    </rPh>
    <rPh sb="20" eb="22">
      <t>カイト</t>
    </rPh>
    <rPh sb="29" eb="33">
      <t>ホジョキンガク</t>
    </rPh>
    <rPh sb="33" eb="36">
      <t>ケイサンショ</t>
    </rPh>
    <phoneticPr fontId="10"/>
  </si>
  <si>
    <t>園芸太郎</t>
    <rPh sb="0" eb="2">
      <t>エンゲイ</t>
    </rPh>
    <rPh sb="2" eb="4">
      <t>タロウ</t>
    </rPh>
    <phoneticPr fontId="3"/>
  </si>
  <si>
    <t>①補助対象
経費</t>
    <rPh sb="1" eb="5">
      <t>ホジョタイショウ</t>
    </rPh>
    <rPh sb="6" eb="8">
      <t>ケイヒ</t>
    </rPh>
    <phoneticPr fontId="10"/>
  </si>
  <si>
    <t>②補助対象
経費上限額</t>
    <rPh sb="1" eb="5">
      <t>ホジョタイショウ</t>
    </rPh>
    <rPh sb="6" eb="8">
      <t>ケイヒ</t>
    </rPh>
    <rPh sb="8" eb="11">
      <t>ジョウゲンガク</t>
    </rPh>
    <phoneticPr fontId="10"/>
  </si>
  <si>
    <t>補助対象
経費
（①、②のうち少額の方）</t>
    <rPh sb="0" eb="4">
      <t>ホジョタイショウ</t>
    </rPh>
    <rPh sb="5" eb="7">
      <t>ケイヒ</t>
    </rPh>
    <phoneticPr fontId="10"/>
  </si>
  <si>
    <t>さくらんぼ結実確保緊急支援事業費補助金【輸入花粉】　補助金額計算書</t>
    <rPh sb="5" eb="9">
      <t>ケツジツカクホ</t>
    </rPh>
    <rPh sb="9" eb="13">
      <t>キンキュウシエン</t>
    </rPh>
    <rPh sb="16" eb="19">
      <t>ホジョキン</t>
    </rPh>
    <rPh sb="20" eb="24">
      <t>ユニュウカフン</t>
    </rPh>
    <rPh sb="26" eb="30">
      <t>ホジョキンガク</t>
    </rPh>
    <rPh sb="30" eb="33">
      <t>ケイサンショ</t>
    </rPh>
    <phoneticPr fontId="10"/>
  </si>
  <si>
    <t>×10g</t>
    <phoneticPr fontId="3"/>
  </si>
  <si>
    <t>山形市</t>
    <rPh sb="0" eb="3">
      <t>ヤマガタシ</t>
    </rPh>
    <phoneticPr fontId="13"/>
  </si>
  <si>
    <t>さくらんぼ結実確保緊急支援事業費補助金 補助金額計算書</t>
    <rPh sb="5" eb="9">
      <t>ケツジツカクホ</t>
    </rPh>
    <rPh sb="9" eb="13">
      <t>キンキュウシエン</t>
    </rPh>
    <rPh sb="20" eb="22">
      <t>ホジョ</t>
    </rPh>
    <rPh sb="22" eb="24">
      <t>キンガク</t>
    </rPh>
    <rPh sb="24" eb="27">
      <t>ケイサンショ</t>
    </rPh>
    <phoneticPr fontId="10"/>
  </si>
  <si>
    <t>買取りミツバチ</t>
    <rPh sb="0" eb="2">
      <t>カイト</t>
    </rPh>
    <phoneticPr fontId="3"/>
  </si>
  <si>
    <t>輸入花粉</t>
    <rPh sb="0" eb="4">
      <t>ユニュウカフン</t>
    </rPh>
    <phoneticPr fontId="3"/>
  </si>
  <si>
    <t>導入資材</t>
    <rPh sb="0" eb="2">
      <t>ドウニュウ</t>
    </rPh>
    <rPh sb="2" eb="4">
      <t>シザイ</t>
    </rPh>
    <phoneticPr fontId="10"/>
  </si>
  <si>
    <t>生産者団体
・市場支援</t>
    <rPh sb="0" eb="3">
      <t>セイサンシャ</t>
    </rPh>
    <rPh sb="3" eb="5">
      <t>ダンタイ</t>
    </rPh>
    <rPh sb="7" eb="9">
      <t>シジョウ</t>
    </rPh>
    <rPh sb="9" eb="11">
      <t>シエン</t>
    </rPh>
    <phoneticPr fontId="10"/>
  </si>
  <si>
    <t xml:space="preserve">県支援
</t>
    <rPh sb="0" eb="1">
      <t>ケン</t>
    </rPh>
    <rPh sb="1" eb="3">
      <t>シエン</t>
    </rPh>
    <phoneticPr fontId="10"/>
  </si>
  <si>
    <t>生産団体・市場補助金額</t>
    <rPh sb="0" eb="4">
      <t>セイサンダンタイ</t>
    </rPh>
    <rPh sb="5" eb="7">
      <t>シジョウ</t>
    </rPh>
    <rPh sb="7" eb="11">
      <t>ホジョキンガク</t>
    </rPh>
    <phoneticPr fontId="10"/>
  </si>
  <si>
    <t>実施主体</t>
    <rPh sb="0" eb="4">
      <t>ジッシシュタイ</t>
    </rPh>
    <phoneticPr fontId="10"/>
  </si>
  <si>
    <t>規格・購入数量</t>
    <rPh sb="0" eb="2">
      <t>キカク</t>
    </rPh>
    <rPh sb="3" eb="7">
      <t>コウニュウスウリョウ</t>
    </rPh>
    <phoneticPr fontId="3"/>
  </si>
  <si>
    <t>導入花粉量
（ｇ）</t>
    <rPh sb="0" eb="2">
      <t>ドウニュウ</t>
    </rPh>
    <rPh sb="2" eb="4">
      <t>カフン</t>
    </rPh>
    <rPh sb="4" eb="5">
      <t>リョウ</t>
    </rPh>
    <phoneticPr fontId="3"/>
  </si>
  <si>
    <t>合計</t>
    <rPh sb="0" eb="2">
      <t>ゴウケイ</t>
    </rPh>
    <phoneticPr fontId="3"/>
  </si>
  <si>
    <t>末端</t>
    <rPh sb="0" eb="2">
      <t>マッタン</t>
    </rPh>
    <phoneticPr fontId="3"/>
  </si>
  <si>
    <t>1/3</t>
    <phoneticPr fontId="3"/>
  </si>
  <si>
    <t>2/3</t>
    <phoneticPr fontId="3"/>
  </si>
  <si>
    <t>１群あたりの上限額
（税込）</t>
    <rPh sb="1" eb="2">
      <t>グン</t>
    </rPh>
    <rPh sb="6" eb="9">
      <t>ジョウゲンガク</t>
    </rPh>
    <rPh sb="11" eb="12">
      <t>ゼイ</t>
    </rPh>
    <rPh sb="12" eb="13">
      <t>コ</t>
    </rPh>
    <phoneticPr fontId="10"/>
  </si>
  <si>
    <t>10gあたりの上限額
（税込）</t>
    <rPh sb="7" eb="10">
      <t>ジョウゲンガク</t>
    </rPh>
    <rPh sb="12" eb="13">
      <t>ゼイ</t>
    </rPh>
    <rPh sb="13" eb="14">
      <t>コ</t>
    </rPh>
    <phoneticPr fontId="10"/>
  </si>
  <si>
    <t>山形次郎</t>
    <rPh sb="0" eb="2">
      <t>ヤマガタ</t>
    </rPh>
    <rPh sb="2" eb="4">
      <t>ジロウ</t>
    </rPh>
    <phoneticPr fontId="3"/>
  </si>
  <si>
    <t>山形花子</t>
    <rPh sb="0" eb="2">
      <t>ヤマガタ</t>
    </rPh>
    <rPh sb="2" eb="4">
      <t>ハナコ</t>
    </rPh>
    <phoneticPr fontId="3"/>
  </si>
  <si>
    <t>やまがたさくらんぼ部会</t>
    <rPh sb="9" eb="11">
      <t>ブカイ</t>
    </rPh>
    <phoneticPr fontId="13"/>
  </si>
  <si>
    <t>やまがたさくらんぼ部会</t>
    <rPh sb="9" eb="11">
      <t>ブカイ</t>
    </rPh>
    <phoneticPr fontId="3"/>
  </si>
  <si>
    <t>さくらんぼ結実確保緊急支援事業費補助金【リースミツバチ】　補助金額計算書</t>
    <rPh sb="5" eb="9">
      <t>ケツジツカクホ</t>
    </rPh>
    <rPh sb="9" eb="13">
      <t>キンキュウシエン</t>
    </rPh>
    <rPh sb="16" eb="19">
      <t>ホジョキン</t>
    </rPh>
    <rPh sb="29" eb="33">
      <t>ホジョキンガク</t>
    </rPh>
    <rPh sb="33" eb="36">
      <t>ケイサンショ</t>
    </rPh>
    <phoneticPr fontId="10"/>
  </si>
  <si>
    <t>山形三郎</t>
    <rPh sb="0" eb="2">
      <t>ヤマガタ</t>
    </rPh>
    <rPh sb="2" eb="4">
      <t>サブロウ</t>
    </rPh>
    <phoneticPr fontId="13"/>
  </si>
  <si>
    <t>山形四郎</t>
    <rPh sb="0" eb="2">
      <t>ヤマガタ</t>
    </rPh>
    <rPh sb="2" eb="4">
      <t>シロウ</t>
    </rPh>
    <phoneticPr fontId="13"/>
  </si>
  <si>
    <t>山形五郎</t>
    <rPh sb="0" eb="2">
      <t>ヤマガタ</t>
    </rPh>
    <rPh sb="2" eb="3">
      <t>ゴ</t>
    </rPh>
    <rPh sb="3" eb="4">
      <t>ロウ</t>
    </rPh>
    <phoneticPr fontId="13"/>
  </si>
  <si>
    <t>山形六郎</t>
    <rPh sb="0" eb="2">
      <t>ヤマガタ</t>
    </rPh>
    <rPh sb="2" eb="4">
      <t>ロクロウ</t>
    </rPh>
    <phoneticPr fontId="13"/>
  </si>
  <si>
    <t>山形市子</t>
    <rPh sb="0" eb="2">
      <t>ヤマガタ</t>
    </rPh>
    <rPh sb="2" eb="4">
      <t>イチコ</t>
    </rPh>
    <phoneticPr fontId="13"/>
  </si>
  <si>
    <t>山形嗣子</t>
    <rPh sb="0" eb="2">
      <t>ヤマガタ</t>
    </rPh>
    <rPh sb="2" eb="4">
      <t>ツグコ</t>
    </rPh>
    <phoneticPr fontId="13"/>
  </si>
  <si>
    <t>山形美子</t>
    <rPh sb="0" eb="2">
      <t>ヤマガタ</t>
    </rPh>
    <rPh sb="2" eb="4">
      <t>ミコ</t>
    </rPh>
    <phoneticPr fontId="13"/>
  </si>
  <si>
    <t>リースミツバチ</t>
    <phoneticPr fontId="3"/>
  </si>
  <si>
    <t>県、市町村
合計補助金額</t>
    <rPh sb="0" eb="1">
      <t>ケン</t>
    </rPh>
    <rPh sb="2" eb="5">
      <t>シチョウソン</t>
    </rPh>
    <rPh sb="6" eb="8">
      <t>ゴウケイ</t>
    </rPh>
    <rPh sb="8" eb="12">
      <t>ホジョキンガク</t>
    </rPh>
    <phoneticPr fontId="10"/>
  </si>
  <si>
    <t>県1/3</t>
    <rPh sb="0" eb="1">
      <t>ケン</t>
    </rPh>
    <phoneticPr fontId="3"/>
  </si>
  <si>
    <t>県2/3</t>
    <rPh sb="0" eb="1">
      <t>ケン</t>
    </rPh>
    <phoneticPr fontId="3"/>
  </si>
  <si>
    <t>4000匹入り</t>
    <rPh sb="4" eb="5">
      <t>ヒキ</t>
    </rPh>
    <rPh sb="5" eb="6">
      <t>イ</t>
    </rPh>
    <phoneticPr fontId="3"/>
  </si>
  <si>
    <t>山形次郎</t>
    <rPh sb="0" eb="2">
      <t>ヤマガタ</t>
    </rPh>
    <rPh sb="2" eb="4">
      <t>ジロウ</t>
    </rPh>
    <phoneticPr fontId="13"/>
  </si>
  <si>
    <t>中国産10g入り</t>
    <rPh sb="0" eb="2">
      <t>チュウゴク</t>
    </rPh>
    <rPh sb="2" eb="3">
      <t>サン</t>
    </rPh>
    <rPh sb="6" eb="7">
      <t>イ</t>
    </rPh>
    <phoneticPr fontId="13"/>
  </si>
  <si>
    <t>中国産10g入り</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</si>
</sst>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quot;a&quot;"/>
    <numFmt numFmtId="177" formatCode="#,##0_ "/>
    <numFmt numFmtId="178" formatCode="#,##0_);[Red]\(#,##0\)"/>
    <numFmt numFmtId="179" formatCode="#.0&quot;m&quot;\ "/>
    <numFmt numFmtId="180" formatCode="0.00_);[Red]\(0.00\)"/>
    <numFmt numFmtId="181" formatCode="0_);[Red]\(0\)"/>
  </numFmts>
  <fonts count="17" x14ac:knownFonts="1">
    <font>
      <sz val="11"/>
      <color theme="1"/>
      <name val="游ゴシック"/>
      <family val="3"/>
      <scheme val="minor"/>
    </font>
    <font>
      <sz val="11"/>
      <name val="ＭＳ Ｐゴシック"/>
      <family val="3"/>
    </font>
    <font>
      <sz val="11"/>
      <color theme="1"/>
      <name val="游ゴシック"/>
      <family val="3"/>
      <scheme val="minor"/>
    </font>
    <font>
      <sz val="6"/>
      <name val="游ゴシック"/>
      <family val="3"/>
    </font>
    <font>
      <b/>
      <sz val="16"/>
      <name val="ＭＳ Ｐゴシック"/>
      <family val="3"/>
    </font>
    <font>
      <sz val="11"/>
      <color theme="1"/>
      <name val="ＭＳ Ｐゴシック"/>
      <family val="3"/>
    </font>
    <font>
      <sz val="9"/>
      <name val="ＭＳ Ｐゴシック"/>
      <family val="3"/>
    </font>
    <font>
      <sz val="11"/>
      <color rgb="FFFF0000"/>
      <name val="ＭＳ Ｐゴシック"/>
      <family val="3"/>
    </font>
    <font>
      <u/>
      <sz val="11"/>
      <name val="ＭＳ Ｐゴシック"/>
      <family val="3"/>
    </font>
    <font>
      <sz val="10"/>
      <name val="ＭＳ Ｐゴシック"/>
      <family val="3"/>
    </font>
    <font>
      <sz val="6"/>
      <name val="ＭＳ Ｐゴシック"/>
      <family val="3"/>
    </font>
    <font>
      <sz val="11"/>
      <color theme="1"/>
      <name val="ＭＳ Ｐゴシック"/>
      <family val="3"/>
      <charset val="128"/>
    </font>
    <font>
      <sz val="11"/>
      <name val="ＭＳ Ｐゴシック"/>
      <family val="3"/>
      <charset val="128"/>
    </font>
    <font>
      <sz val="6"/>
      <name val="游ゴシック"/>
      <family val="3"/>
      <charset val="128"/>
      <scheme val="minor"/>
    </font>
    <font>
      <sz val="12"/>
      <name val="ＭＳ Ｐゴシック"/>
      <family val="3"/>
    </font>
    <font>
      <sz val="12"/>
      <color theme="1"/>
      <name val="游ゴシック"/>
      <family val="3"/>
      <scheme val="minor"/>
    </font>
    <font>
      <b/>
      <sz val="11"/>
      <color rgb="FFFF0000"/>
      <name val="ＭＳ Ｐ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s>
  <borders count="62">
    <border>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auto="1"/>
      </left>
      <right/>
      <top style="thin">
        <color auto="1"/>
      </top>
      <bottom/>
      <diagonal/>
    </border>
    <border>
      <left style="thin">
        <color indexed="64"/>
      </left>
      <right/>
      <top style="thin">
        <color indexed="64"/>
      </top>
      <bottom style="double">
        <color indexed="64"/>
      </bottom>
      <diagonal/>
    </border>
    <border>
      <left/>
      <right/>
      <top style="double">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auto="1"/>
      </right>
      <top/>
      <bottom style="double">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auto="1"/>
      </top>
      <bottom style="medium">
        <color indexed="64"/>
      </bottom>
      <diagonal style="thin">
        <color indexed="64"/>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indexed="64"/>
      </left>
      <right style="thin">
        <color indexed="64"/>
      </right>
      <top/>
      <bottom/>
      <diagonal/>
    </border>
    <border>
      <left style="thin">
        <color indexed="64"/>
      </left>
      <right style="thin">
        <color auto="1"/>
      </right>
      <top/>
      <bottom style="double">
        <color auto="1"/>
      </bottom>
      <diagonal/>
    </border>
    <border>
      <left/>
      <right/>
      <top style="medium">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right style="medium">
        <color auto="1"/>
      </right>
      <top style="medium">
        <color auto="1"/>
      </top>
      <bottom/>
      <diagonal/>
    </border>
    <border>
      <left/>
      <right style="medium">
        <color indexed="64"/>
      </right>
      <top/>
      <bottom style="medium">
        <color indexed="64"/>
      </bottom>
      <diagonal/>
    </border>
    <border diagonalUp="1">
      <left/>
      <right style="thin">
        <color auto="1"/>
      </right>
      <top style="double">
        <color auto="1"/>
      </top>
      <bottom style="thin">
        <color auto="1"/>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auto="1"/>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auto="1"/>
      </bottom>
      <diagonal/>
    </border>
  </borders>
  <cellStyleXfs count="5">
    <xf numFmtId="0" fontId="0" fillId="0" borderId="0">
      <alignment vertical="center"/>
    </xf>
    <xf numFmtId="38" fontId="1" fillId="0" borderId="0" applyFill="0" applyBorder="0" applyAlignment="0" applyProtection="0">
      <alignment vertical="center"/>
    </xf>
    <xf numFmtId="38" fontId="2" fillId="0" borderId="0" applyFont="0" applyFill="0" applyBorder="0" applyAlignment="0" applyProtection="0">
      <alignment vertical="center"/>
    </xf>
    <xf numFmtId="0" fontId="1" fillId="0" borderId="0"/>
    <xf numFmtId="38" fontId="2" fillId="0" borderId="0" applyFont="0" applyFill="0" applyBorder="0" applyAlignment="0" applyProtection="0">
      <alignment vertical="center"/>
    </xf>
  </cellStyleXfs>
  <cellXfs count="195">
    <xf numFmtId="0" fontId="0" fillId="0" borderId="0" xfId="0">
      <alignment vertical="center"/>
    </xf>
    <xf numFmtId="0" fontId="1" fillId="0" borderId="0" xfId="3" applyAlignment="1">
      <alignment vertical="center"/>
    </xf>
    <xf numFmtId="0" fontId="4" fillId="0" borderId="0" xfId="3" applyFont="1" applyAlignment="1">
      <alignment horizontal="center" vertical="center"/>
    </xf>
    <xf numFmtId="38" fontId="1" fillId="2" borderId="13" xfId="1" applyFill="1" applyBorder="1" applyAlignment="1">
      <alignment vertical="center"/>
    </xf>
    <xf numFmtId="0" fontId="6" fillId="0" borderId="0" xfId="3" applyFont="1" applyAlignment="1">
      <alignment vertical="center"/>
    </xf>
    <xf numFmtId="0" fontId="6" fillId="0" borderId="0" xfId="3" applyFont="1" applyAlignment="1">
      <alignment horizontal="center" vertical="center"/>
    </xf>
    <xf numFmtId="0" fontId="6" fillId="0" borderId="0" xfId="3" applyFont="1" applyAlignment="1">
      <alignment vertical="center" shrinkToFit="1"/>
    </xf>
    <xf numFmtId="0" fontId="1" fillId="0" borderId="0" xfId="3" applyAlignment="1">
      <alignment vertical="center" shrinkToFit="1"/>
    </xf>
    <xf numFmtId="0" fontId="6" fillId="0" borderId="0" xfId="3" applyFont="1" applyAlignment="1">
      <alignment horizontal="center" vertical="center" shrinkToFit="1"/>
    </xf>
    <xf numFmtId="0" fontId="1" fillId="0" borderId="0" xfId="3" applyAlignment="1">
      <alignment horizontal="left" vertical="center"/>
    </xf>
    <xf numFmtId="38" fontId="1" fillId="0" borderId="0" xfId="1" applyAlignment="1">
      <alignment horizontal="center" vertical="center"/>
    </xf>
    <xf numFmtId="38" fontId="5" fillId="0" borderId="0" xfId="1" applyFont="1" applyAlignment="1">
      <alignment vertical="center"/>
    </xf>
    <xf numFmtId="38" fontId="1" fillId="0" borderId="0" xfId="4" applyFont="1" applyAlignment="1">
      <alignment vertical="center"/>
    </xf>
    <xf numFmtId="0" fontId="1" fillId="0" borderId="0" xfId="3" applyAlignment="1">
      <alignment horizontal="right" vertical="center"/>
    </xf>
    <xf numFmtId="38" fontId="7" fillId="0" borderId="0" xfId="1" applyFont="1" applyFill="1" applyBorder="1" applyAlignment="1" applyProtection="1">
      <alignment horizontal="center" vertical="center" wrapText="1"/>
    </xf>
    <xf numFmtId="38" fontId="1" fillId="0" borderId="0" xfId="1" applyFill="1" applyBorder="1" applyAlignment="1" applyProtection="1">
      <alignment horizontal="center" vertical="center" wrapText="1"/>
    </xf>
    <xf numFmtId="0" fontId="1" fillId="0" borderId="0" xfId="3" applyAlignment="1">
      <alignment horizontal="center" vertical="center"/>
    </xf>
    <xf numFmtId="38" fontId="1" fillId="0" borderId="0" xfId="1" applyFill="1" applyAlignment="1" applyProtection="1">
      <alignment vertical="center"/>
    </xf>
    <xf numFmtId="38" fontId="1" fillId="0" borderId="0" xfId="1" applyFill="1" applyAlignment="1" applyProtection="1">
      <alignment horizontal="center" vertical="center"/>
    </xf>
    <xf numFmtId="38" fontId="1" fillId="0" borderId="0" xfId="1" applyFill="1" applyAlignment="1" applyProtection="1">
      <alignment horizontal="left" vertical="center" wrapText="1"/>
    </xf>
    <xf numFmtId="38" fontId="1" fillId="0" borderId="0" xfId="1" applyFill="1" applyBorder="1" applyAlignment="1" applyProtection="1">
      <alignment horizontal="right" vertical="center"/>
    </xf>
    <xf numFmtId="38" fontId="1" fillId="0" borderId="0" xfId="1" applyFill="1" applyBorder="1" applyAlignment="1" applyProtection="1">
      <alignment horizontal="left" vertical="center"/>
    </xf>
    <xf numFmtId="38" fontId="8" fillId="0" borderId="0" xfId="1" applyFont="1" applyFill="1" applyBorder="1" applyAlignment="1" applyProtection="1">
      <alignment horizontal="left" vertical="center"/>
    </xf>
    <xf numFmtId="38" fontId="1" fillId="0" borderId="0" xfId="1" applyFill="1" applyBorder="1" applyAlignment="1" applyProtection="1">
      <alignment horizontal="center" vertical="center" textRotation="255" wrapText="1"/>
    </xf>
    <xf numFmtId="0" fontId="9" fillId="0" borderId="0" xfId="3" applyFont="1" applyAlignment="1">
      <alignment vertical="center"/>
    </xf>
    <xf numFmtId="38" fontId="9" fillId="0" borderId="0" xfId="1" applyFont="1" applyFill="1" applyBorder="1" applyAlignment="1" applyProtection="1">
      <alignment horizontal="right" vertical="center"/>
    </xf>
    <xf numFmtId="38" fontId="1" fillId="0" borderId="0" xfId="1" applyFill="1" applyBorder="1" applyAlignment="1" applyProtection="1">
      <alignment horizontal="center" vertical="center"/>
    </xf>
    <xf numFmtId="0" fontId="1" fillId="2" borderId="13" xfId="3" applyFill="1" applyBorder="1" applyAlignment="1">
      <alignment vertical="center" wrapText="1"/>
    </xf>
    <xf numFmtId="0" fontId="1" fillId="0" borderId="0" xfId="3" applyAlignment="1">
      <alignment horizontal="center" vertical="center" wrapText="1"/>
    </xf>
    <xf numFmtId="38" fontId="1" fillId="0" borderId="0" xfId="1" applyFill="1" applyBorder="1" applyAlignment="1" applyProtection="1">
      <alignment vertical="center"/>
    </xf>
    <xf numFmtId="38" fontId="9" fillId="0" borderId="0" xfId="1" applyFont="1" applyFill="1" applyBorder="1" applyAlignment="1" applyProtection="1">
      <alignment vertical="center"/>
    </xf>
    <xf numFmtId="38" fontId="5" fillId="3" borderId="10" xfId="1" applyFont="1" applyFill="1" applyBorder="1" applyAlignment="1" applyProtection="1">
      <alignment horizontal="center" vertical="center"/>
    </xf>
    <xf numFmtId="38" fontId="1" fillId="3" borderId="10" xfId="1" applyFill="1" applyBorder="1" applyAlignment="1" applyProtection="1">
      <alignment horizontal="center" vertical="center"/>
    </xf>
    <xf numFmtId="38" fontId="1" fillId="3" borderId="12" xfId="1" applyFill="1" applyBorder="1" applyAlignment="1" applyProtection="1">
      <alignment horizontal="center" vertical="center"/>
    </xf>
    <xf numFmtId="0" fontId="1" fillId="2" borderId="24" xfId="3" applyFill="1" applyBorder="1" applyAlignment="1">
      <alignment vertical="center" wrapText="1"/>
    </xf>
    <xf numFmtId="0" fontId="1" fillId="2" borderId="24" xfId="3" applyFill="1" applyBorder="1" applyAlignment="1">
      <alignment vertical="center"/>
    </xf>
    <xf numFmtId="0" fontId="1" fillId="2" borderId="9" xfId="3" applyFill="1" applyBorder="1" applyAlignment="1">
      <alignment vertical="center"/>
    </xf>
    <xf numFmtId="38" fontId="5" fillId="2" borderId="11" xfId="1" applyFont="1" applyFill="1" applyBorder="1" applyAlignment="1">
      <alignment horizontal="right" vertical="center" wrapText="1"/>
    </xf>
    <xf numFmtId="38" fontId="5" fillId="0" borderId="0" xfId="1" applyFont="1" applyFill="1" applyBorder="1" applyAlignment="1">
      <alignment vertical="center" wrapText="1"/>
    </xf>
    <xf numFmtId="38" fontId="1" fillId="0" borderId="0" xfId="1" applyFill="1" applyBorder="1" applyAlignment="1">
      <alignment vertical="center"/>
    </xf>
    <xf numFmtId="38" fontId="5" fillId="3" borderId="11" xfId="1" applyFont="1" applyFill="1" applyBorder="1" applyAlignment="1">
      <alignment horizontal="right" vertical="center" wrapText="1"/>
    </xf>
    <xf numFmtId="38" fontId="1" fillId="0" borderId="11" xfId="1" applyFill="1" applyBorder="1" applyAlignment="1">
      <alignment vertical="center"/>
    </xf>
    <xf numFmtId="38" fontId="1" fillId="4" borderId="11" xfId="1" applyFill="1" applyBorder="1" applyAlignment="1">
      <alignment horizontal="center" vertical="center" shrinkToFit="1"/>
    </xf>
    <xf numFmtId="38" fontId="1" fillId="2" borderId="17" xfId="1" applyFill="1" applyBorder="1" applyAlignment="1">
      <alignment horizontal="center" vertical="center"/>
    </xf>
    <xf numFmtId="38" fontId="1" fillId="0" borderId="0" xfId="1" applyFill="1" applyBorder="1" applyAlignment="1">
      <alignment horizontal="center" vertical="center" shrinkToFit="1"/>
    </xf>
    <xf numFmtId="38" fontId="1" fillId="0" borderId="0" xfId="1" applyFill="1" applyBorder="1" applyAlignment="1">
      <alignment horizontal="center" vertical="center"/>
    </xf>
    <xf numFmtId="38" fontId="1" fillId="2" borderId="13" xfId="1" applyFill="1" applyBorder="1" applyAlignment="1">
      <alignment horizontal="right" vertical="center"/>
    </xf>
    <xf numFmtId="38" fontId="5" fillId="0" borderId="0" xfId="1" applyFont="1" applyFill="1" applyBorder="1" applyAlignment="1">
      <alignment horizontal="center" vertical="center" wrapText="1"/>
    </xf>
    <xf numFmtId="178" fontId="1" fillId="0" borderId="11" xfId="3" applyNumberFormat="1" applyBorder="1" applyAlignment="1">
      <alignment vertical="center" wrapText="1"/>
    </xf>
    <xf numFmtId="178" fontId="1" fillId="2" borderId="13" xfId="3" applyNumberFormat="1" applyFill="1" applyBorder="1" applyAlignment="1">
      <alignment vertical="center" wrapText="1"/>
    </xf>
    <xf numFmtId="178" fontId="1" fillId="0" borderId="0" xfId="3" applyNumberFormat="1" applyAlignment="1">
      <alignment vertical="center" wrapText="1"/>
    </xf>
    <xf numFmtId="38" fontId="5" fillId="2" borderId="11" xfId="1" applyFont="1" applyFill="1" applyBorder="1" applyAlignment="1">
      <alignment horizontal="right" vertical="center"/>
    </xf>
    <xf numFmtId="38" fontId="5" fillId="2" borderId="38" xfId="1" applyFont="1" applyFill="1" applyBorder="1" applyAlignment="1">
      <alignment horizontal="right" vertical="center" wrapText="1"/>
    </xf>
    <xf numFmtId="38" fontId="7" fillId="2" borderId="39" xfId="1" applyFont="1" applyFill="1" applyBorder="1" applyAlignment="1">
      <alignment vertical="center"/>
    </xf>
    <xf numFmtId="38" fontId="1" fillId="0" borderId="0" xfId="1" applyFill="1" applyBorder="1" applyAlignment="1" applyProtection="1">
      <alignment horizontal="right" vertical="center" wrapText="1"/>
    </xf>
    <xf numFmtId="38" fontId="5" fillId="0" borderId="0" xfId="1" applyFont="1" applyFill="1" applyBorder="1" applyAlignment="1">
      <alignment horizontal="center" vertical="center"/>
    </xf>
    <xf numFmtId="38" fontId="5" fillId="0" borderId="0" xfId="1" quotePrefix="1" applyFont="1" applyFill="1" applyBorder="1" applyAlignment="1">
      <alignment horizontal="center" vertical="center" wrapText="1"/>
    </xf>
    <xf numFmtId="38" fontId="1" fillId="0" borderId="0" xfId="1" applyFill="1" applyBorder="1" applyAlignment="1">
      <alignment vertical="center" wrapText="1"/>
    </xf>
    <xf numFmtId="38" fontId="1" fillId="0" borderId="0" xfId="1" applyFill="1" applyBorder="1" applyAlignment="1">
      <alignment horizontal="right" vertical="center" wrapText="1"/>
    </xf>
    <xf numFmtId="38" fontId="1" fillId="0" borderId="0" xfId="1" applyFill="1" applyBorder="1" applyAlignment="1">
      <alignment horizontal="right" vertical="center"/>
    </xf>
    <xf numFmtId="38" fontId="1" fillId="0" borderId="0" xfId="1" applyFill="1" applyBorder="1" applyAlignment="1" applyProtection="1">
      <alignment horizontal="left" vertical="center" wrapText="1"/>
    </xf>
    <xf numFmtId="38" fontId="4" fillId="0" borderId="0" xfId="1" applyFont="1" applyFill="1" applyBorder="1" applyAlignment="1" applyProtection="1">
      <alignment vertical="center"/>
    </xf>
    <xf numFmtId="177" fontId="1" fillId="2" borderId="29" xfId="3" applyNumberFormat="1" applyFill="1" applyBorder="1" applyAlignment="1">
      <alignment horizontal="right" vertical="center" wrapText="1"/>
    </xf>
    <xf numFmtId="177" fontId="1" fillId="0" borderId="0" xfId="3" applyNumberFormat="1" applyAlignment="1">
      <alignment horizontal="right" vertical="center" wrapText="1"/>
    </xf>
    <xf numFmtId="177" fontId="1" fillId="2" borderId="42" xfId="3" applyNumberFormat="1" applyFill="1" applyBorder="1" applyAlignment="1">
      <alignment horizontal="right" vertical="center" wrapText="1"/>
    </xf>
    <xf numFmtId="176" fontId="1" fillId="2" borderId="10" xfId="1" applyNumberFormat="1" applyFill="1" applyBorder="1" applyAlignment="1" applyProtection="1">
      <alignment horizontal="center" vertical="center" wrapText="1"/>
    </xf>
    <xf numFmtId="180" fontId="1" fillId="2" borderId="17" xfId="3" applyNumberFormat="1" applyFill="1" applyBorder="1" applyAlignment="1">
      <alignment horizontal="right" vertical="center"/>
    </xf>
    <xf numFmtId="181" fontId="1" fillId="2" borderId="13" xfId="3" applyNumberFormat="1" applyFill="1" applyBorder="1" applyAlignment="1">
      <alignment horizontal="right" vertical="center"/>
    </xf>
    <xf numFmtId="38" fontId="1" fillId="0" borderId="0" xfId="1" quotePrefix="1" applyFill="1" applyBorder="1" applyAlignment="1" applyProtection="1">
      <alignment horizontal="center" vertical="center" wrapText="1"/>
    </xf>
    <xf numFmtId="181" fontId="11" fillId="0" borderId="2" xfId="0" applyNumberFormat="1" applyFont="1" applyBorder="1" applyAlignment="1">
      <alignment horizontal="center" vertical="center" wrapText="1"/>
    </xf>
    <xf numFmtId="181" fontId="12" fillId="0" borderId="11" xfId="3" applyNumberFormat="1" applyFont="1" applyBorder="1" applyAlignment="1">
      <alignment horizontal="center" vertical="center" wrapText="1"/>
    </xf>
    <xf numFmtId="178" fontId="1" fillId="2" borderId="24" xfId="3" applyNumberFormat="1" applyFill="1" applyBorder="1" applyAlignment="1">
      <alignment vertical="center" wrapText="1"/>
    </xf>
    <xf numFmtId="38" fontId="5" fillId="2" borderId="7" xfId="1" applyFont="1" applyFill="1" applyBorder="1" applyAlignment="1">
      <alignment horizontal="right" vertical="center" wrapText="1"/>
    </xf>
    <xf numFmtId="0" fontId="1" fillId="2" borderId="49" xfId="3" applyFill="1" applyBorder="1" applyAlignment="1">
      <alignment horizontal="center" vertical="center"/>
    </xf>
    <xf numFmtId="0" fontId="1" fillId="3" borderId="0" xfId="3" applyFill="1" applyAlignment="1">
      <alignment vertical="center"/>
    </xf>
    <xf numFmtId="0" fontId="11" fillId="0" borderId="2"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38" fontId="1" fillId="2" borderId="6" xfId="1" applyFill="1" applyBorder="1" applyAlignment="1">
      <alignment vertical="center"/>
    </xf>
    <xf numFmtId="38" fontId="5" fillId="2" borderId="10" xfId="1" applyFont="1" applyFill="1" applyBorder="1" applyAlignment="1">
      <alignment horizontal="right" vertical="center"/>
    </xf>
    <xf numFmtId="0" fontId="1" fillId="2" borderId="56" xfId="3" applyFill="1" applyBorder="1" applyAlignment="1">
      <alignment horizontal="center" vertical="center"/>
    </xf>
    <xf numFmtId="38" fontId="5" fillId="2" borderId="31" xfId="2" applyFont="1" applyFill="1" applyBorder="1" applyAlignment="1">
      <alignment horizontal="center" vertical="center" wrapText="1"/>
    </xf>
    <xf numFmtId="0" fontId="1" fillId="2" borderId="54" xfId="3" applyFill="1" applyBorder="1" applyAlignment="1">
      <alignment horizontal="center" vertical="center"/>
    </xf>
    <xf numFmtId="38" fontId="1" fillId="0" borderId="0" xfId="3" applyNumberFormat="1" applyAlignment="1">
      <alignment vertical="center"/>
    </xf>
    <xf numFmtId="38" fontId="1" fillId="0" borderId="34" xfId="1" applyFill="1" applyBorder="1" applyAlignment="1" applyProtection="1">
      <alignment horizontal="center" vertical="center" wrapText="1"/>
    </xf>
    <xf numFmtId="38" fontId="1" fillId="0" borderId="34" xfId="1" quotePrefix="1" applyFill="1" applyBorder="1" applyAlignment="1" applyProtection="1">
      <alignment horizontal="center" vertical="center" wrapText="1"/>
    </xf>
    <xf numFmtId="38" fontId="1" fillId="0" borderId="40" xfId="1" applyFill="1" applyBorder="1" applyAlignment="1" applyProtection="1">
      <alignment horizontal="center" vertical="center" wrapText="1"/>
    </xf>
    <xf numFmtId="38" fontId="1" fillId="0" borderId="1" xfId="1" applyFill="1" applyBorder="1" applyAlignment="1" applyProtection="1">
      <alignment horizontal="center" vertical="center" wrapText="1"/>
    </xf>
    <xf numFmtId="38" fontId="1" fillId="0" borderId="1" xfId="1" quotePrefix="1" applyFill="1" applyBorder="1" applyAlignment="1" applyProtection="1">
      <alignment horizontal="center" vertical="center" wrapText="1"/>
    </xf>
    <xf numFmtId="38" fontId="1" fillId="0" borderId="41" xfId="1" applyFill="1" applyBorder="1" applyAlignment="1" applyProtection="1">
      <alignment horizontal="center" vertical="center" wrapText="1"/>
    </xf>
    <xf numFmtId="38" fontId="1" fillId="2" borderId="0" xfId="1" applyFill="1" applyBorder="1" applyAlignment="1" applyProtection="1">
      <alignment horizontal="center" vertical="center" wrapText="1"/>
    </xf>
    <xf numFmtId="38" fontId="1" fillId="2" borderId="0" xfId="4" applyFont="1" applyFill="1" applyBorder="1" applyAlignment="1">
      <alignment horizontal="right" vertical="center" wrapText="1"/>
    </xf>
    <xf numFmtId="177" fontId="1" fillId="2" borderId="0" xfId="3" applyNumberFormat="1" applyFill="1" applyAlignment="1">
      <alignment horizontal="right" vertical="center" wrapText="1"/>
    </xf>
    <xf numFmtId="38" fontId="1" fillId="2" borderId="16" xfId="4" applyFont="1" applyFill="1" applyBorder="1" applyAlignment="1">
      <alignment horizontal="right" vertical="center" wrapText="1"/>
    </xf>
    <xf numFmtId="177" fontId="1" fillId="2" borderId="16" xfId="3" applyNumberFormat="1" applyFill="1" applyBorder="1" applyAlignment="1">
      <alignment horizontal="right" vertical="center" wrapText="1"/>
    </xf>
    <xf numFmtId="38" fontId="1" fillId="0" borderId="59" xfId="1" applyFill="1" applyBorder="1" applyAlignment="1" applyProtection="1">
      <alignment horizontal="center" vertical="center" wrapText="1"/>
    </xf>
    <xf numFmtId="38" fontId="1" fillId="0" borderId="59" xfId="1" quotePrefix="1" applyFill="1" applyBorder="1" applyAlignment="1" applyProtection="1">
      <alignment horizontal="center" vertical="center" wrapText="1"/>
    </xf>
    <xf numFmtId="38" fontId="1" fillId="0" borderId="46" xfId="1" applyFill="1" applyBorder="1" applyAlignment="1" applyProtection="1">
      <alignment horizontal="center" vertical="center" wrapText="1"/>
    </xf>
    <xf numFmtId="38" fontId="5" fillId="2" borderId="16" xfId="1" applyFont="1" applyFill="1" applyBorder="1" applyAlignment="1">
      <alignment horizontal="right" vertical="center"/>
    </xf>
    <xf numFmtId="38" fontId="12" fillId="2" borderId="49" xfId="3" applyNumberFormat="1" applyFont="1" applyFill="1" applyBorder="1" applyAlignment="1">
      <alignment horizontal="center" vertical="center"/>
    </xf>
    <xf numFmtId="38" fontId="5" fillId="2" borderId="10" xfId="1" applyFont="1" applyFill="1" applyBorder="1" applyAlignment="1">
      <alignment vertical="center" wrapText="1"/>
    </xf>
    <xf numFmtId="38" fontId="5" fillId="2" borderId="10" xfId="1" applyFont="1" applyFill="1" applyBorder="1" applyAlignment="1">
      <alignment vertical="center"/>
    </xf>
    <xf numFmtId="38" fontId="5" fillId="2" borderId="12" xfId="1" applyFont="1" applyFill="1" applyBorder="1" applyAlignment="1">
      <alignment vertical="center" wrapText="1"/>
    </xf>
    <xf numFmtId="38" fontId="5" fillId="2" borderId="12" xfId="1" applyFont="1" applyFill="1" applyBorder="1" applyAlignment="1">
      <alignment vertical="center"/>
    </xf>
    <xf numFmtId="38" fontId="5" fillId="2" borderId="11" xfId="1" applyFont="1" applyFill="1" applyBorder="1" applyAlignment="1">
      <alignment vertical="center" wrapText="1"/>
    </xf>
    <xf numFmtId="38" fontId="5" fillId="2" borderId="11" xfId="1" applyFont="1" applyFill="1" applyBorder="1" applyAlignment="1">
      <alignment vertical="center"/>
    </xf>
    <xf numFmtId="38" fontId="1" fillId="2" borderId="17" xfId="1" applyFill="1" applyBorder="1" applyAlignment="1">
      <alignment vertical="center"/>
    </xf>
    <xf numFmtId="0" fontId="1" fillId="0" borderId="0" xfId="3" quotePrefix="1" applyAlignment="1">
      <alignment vertical="center"/>
    </xf>
    <xf numFmtId="0" fontId="16" fillId="0" borderId="0" xfId="3" applyFont="1" applyAlignment="1">
      <alignment vertical="center"/>
    </xf>
    <xf numFmtId="178" fontId="1" fillId="0" borderId="0" xfId="3" applyNumberFormat="1" applyAlignment="1">
      <alignment vertical="center"/>
    </xf>
    <xf numFmtId="0" fontId="4" fillId="0" borderId="0" xfId="3" applyFont="1" applyAlignment="1">
      <alignment horizontal="center" vertical="center"/>
    </xf>
    <xf numFmtId="0" fontId="0" fillId="0" borderId="0" xfId="0">
      <alignment vertical="center"/>
    </xf>
    <xf numFmtId="38" fontId="1" fillId="0" borderId="0" xfId="1" applyAlignment="1">
      <alignment horizontal="center" vertical="center"/>
    </xf>
    <xf numFmtId="0" fontId="1" fillId="0" borderId="0" xfId="3" applyAlignment="1">
      <alignment horizontal="center" vertical="center"/>
    </xf>
    <xf numFmtId="0" fontId="1" fillId="2" borderId="43" xfId="3" applyFill="1" applyBorder="1" applyAlignment="1">
      <alignment horizontal="center" vertical="center"/>
    </xf>
    <xf numFmtId="0" fontId="1" fillId="2" borderId="56" xfId="3" applyFill="1" applyBorder="1" applyAlignment="1">
      <alignment horizontal="center" vertical="center"/>
    </xf>
    <xf numFmtId="38" fontId="5" fillId="2" borderId="2" xfId="1" applyFont="1" applyFill="1" applyBorder="1" applyAlignment="1">
      <alignment horizontal="center" vertical="center" wrapText="1"/>
    </xf>
    <xf numFmtId="38" fontId="5" fillId="2" borderId="10" xfId="1" applyFont="1" applyFill="1" applyBorder="1" applyAlignment="1">
      <alignment horizontal="center" vertical="center" wrapText="1"/>
    </xf>
    <xf numFmtId="38" fontId="5" fillId="2" borderId="10" xfId="1" applyFont="1" applyFill="1" applyBorder="1" applyAlignment="1">
      <alignment horizontal="center" vertical="center"/>
    </xf>
    <xf numFmtId="38" fontId="5" fillId="2" borderId="2" xfId="1" applyFont="1" applyFill="1" applyBorder="1" applyAlignment="1">
      <alignment horizontal="center" vertical="center"/>
    </xf>
    <xf numFmtId="0" fontId="1" fillId="2" borderId="2" xfId="3" applyFill="1" applyBorder="1" applyAlignment="1">
      <alignment horizontal="center" vertical="center" wrapText="1" shrinkToFit="1"/>
    </xf>
    <xf numFmtId="0" fontId="1" fillId="2" borderId="10" xfId="3" applyFill="1" applyBorder="1" applyAlignment="1">
      <alignment horizontal="center" vertical="center" wrapText="1" shrinkToFit="1"/>
    </xf>
    <xf numFmtId="0" fontId="1" fillId="2" borderId="2" xfId="3" applyFill="1" applyBorder="1" applyAlignment="1">
      <alignment horizontal="center" vertical="center" shrinkToFit="1"/>
    </xf>
    <xf numFmtId="0" fontId="1" fillId="2" borderId="10" xfId="3" applyFill="1" applyBorder="1" applyAlignment="1">
      <alignment horizontal="center" vertical="center" shrinkToFit="1"/>
    </xf>
    <xf numFmtId="38" fontId="1" fillId="2" borderId="23" xfId="1" applyFill="1" applyBorder="1" applyAlignment="1" applyProtection="1">
      <alignment horizontal="center" vertical="center" wrapText="1"/>
    </xf>
    <xf numFmtId="38" fontId="1" fillId="2" borderId="55" xfId="1" applyFill="1" applyBorder="1" applyAlignment="1" applyProtection="1">
      <alignment horizontal="center" vertical="center" wrapText="1"/>
    </xf>
    <xf numFmtId="38" fontId="1" fillId="2" borderId="11" xfId="1" applyFill="1" applyBorder="1" applyAlignment="1">
      <alignment vertical="center" wrapText="1"/>
    </xf>
    <xf numFmtId="0" fontId="0" fillId="0" borderId="5" xfId="0" applyBorder="1" applyAlignment="1">
      <alignment vertical="center" wrapText="1"/>
    </xf>
    <xf numFmtId="0" fontId="0" fillId="0" borderId="33" xfId="0" applyBorder="1" applyAlignment="1">
      <alignment vertical="center" wrapText="1"/>
    </xf>
    <xf numFmtId="38" fontId="1" fillId="2" borderId="38" xfId="1" applyFill="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0" fontId="1" fillId="0" borderId="0" xfId="3" applyAlignment="1">
      <alignment vertical="center"/>
    </xf>
    <xf numFmtId="38" fontId="14" fillId="2" borderId="50" xfId="3" applyNumberFormat="1" applyFont="1" applyFill="1" applyBorder="1" applyAlignment="1">
      <alignment horizontal="center" vertical="center"/>
    </xf>
    <xf numFmtId="0" fontId="15" fillId="2" borderId="46" xfId="0" applyFont="1" applyFill="1" applyBorder="1" applyAlignment="1">
      <alignment horizontal="center" vertical="center"/>
    </xf>
    <xf numFmtId="38" fontId="4" fillId="0" borderId="0" xfId="1" applyFont="1" applyFill="1" applyBorder="1" applyAlignment="1" applyProtection="1">
      <alignment horizontal="center" vertical="center"/>
    </xf>
    <xf numFmtId="38" fontId="8" fillId="0" borderId="0" xfId="1" applyFont="1" applyFill="1" applyBorder="1" applyAlignment="1" applyProtection="1">
      <alignment horizontal="left" vertical="center"/>
    </xf>
    <xf numFmtId="38" fontId="1" fillId="2" borderId="14" xfId="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15" xfId="0" applyBorder="1" applyAlignment="1">
      <alignment horizontal="center" vertical="center" wrapText="1"/>
    </xf>
    <xf numFmtId="0" fontId="0" fillId="0" borderId="19" xfId="0" applyBorder="1" applyAlignment="1">
      <alignment horizontal="center" vertical="center" wrapText="1"/>
    </xf>
    <xf numFmtId="38" fontId="5" fillId="2" borderId="22" xfId="1" applyFont="1" applyFill="1" applyBorder="1" applyAlignment="1">
      <alignment horizontal="center" vertical="center" wrapText="1"/>
    </xf>
    <xf numFmtId="38" fontId="5" fillId="2" borderId="37" xfId="1" applyFont="1" applyFill="1" applyBorder="1" applyAlignment="1">
      <alignment horizontal="center" vertical="center" wrapText="1"/>
    </xf>
    <xf numFmtId="38" fontId="5" fillId="2" borderId="3" xfId="1" applyFont="1" applyFill="1" applyBorder="1" applyAlignment="1">
      <alignment horizontal="center" vertical="center" wrapText="1"/>
    </xf>
    <xf numFmtId="38" fontId="1" fillId="2" borderId="2" xfId="1" applyFill="1" applyBorder="1" applyAlignment="1">
      <alignment horizontal="center" vertical="center" wrapText="1"/>
    </xf>
    <xf numFmtId="38" fontId="1" fillId="2" borderId="3" xfId="1" applyFill="1" applyBorder="1" applyAlignment="1">
      <alignment horizontal="center" vertical="center" wrapText="1"/>
    </xf>
    <xf numFmtId="38" fontId="5" fillId="2" borderId="3" xfId="1" applyFont="1" applyFill="1" applyBorder="1" applyAlignment="1">
      <alignment horizontal="center" vertical="center"/>
    </xf>
    <xf numFmtId="38" fontId="1" fillId="2" borderId="30" xfId="1" applyFill="1" applyBorder="1" applyAlignment="1" applyProtection="1">
      <alignment horizontal="center" vertical="center"/>
    </xf>
    <xf numFmtId="38" fontId="1" fillId="2" borderId="31" xfId="1" applyFill="1" applyBorder="1" applyAlignment="1" applyProtection="1">
      <alignment horizontal="center" vertical="center"/>
    </xf>
    <xf numFmtId="38" fontId="1" fillId="2" borderId="4" xfId="1" applyFill="1" applyBorder="1" applyAlignment="1" applyProtection="1">
      <alignment horizontal="center" vertical="center"/>
    </xf>
    <xf numFmtId="38" fontId="1" fillId="2" borderId="6" xfId="1" applyFill="1" applyBorder="1" applyAlignment="1" applyProtection="1">
      <alignment horizontal="center" vertical="center"/>
    </xf>
    <xf numFmtId="38" fontId="1" fillId="3" borderId="32" xfId="1" applyFill="1" applyBorder="1" applyAlignment="1" applyProtection="1">
      <alignment horizontal="center" vertical="center"/>
    </xf>
    <xf numFmtId="38" fontId="1" fillId="3" borderId="31" xfId="1" applyFill="1" applyBorder="1" applyAlignment="1" applyProtection="1">
      <alignment horizontal="center" vertical="center"/>
    </xf>
    <xf numFmtId="38" fontId="1" fillId="3" borderId="5" xfId="1" applyFill="1" applyBorder="1" applyAlignment="1" applyProtection="1">
      <alignment horizontal="center" vertical="center"/>
    </xf>
    <xf numFmtId="38" fontId="1" fillId="3" borderId="33" xfId="1" applyFill="1" applyBorder="1" applyAlignment="1" applyProtection="1">
      <alignment horizontal="center" vertical="center"/>
    </xf>
    <xf numFmtId="38" fontId="1" fillId="3" borderId="5" xfId="1" applyFill="1" applyBorder="1" applyAlignment="1" applyProtection="1">
      <alignment horizontal="center" vertical="center" wrapText="1"/>
    </xf>
    <xf numFmtId="38" fontId="1" fillId="3" borderId="33" xfId="1" applyFill="1" applyBorder="1" applyAlignment="1" applyProtection="1">
      <alignment horizontal="center" vertical="center" wrapText="1"/>
    </xf>
    <xf numFmtId="179" fontId="1" fillId="0" borderId="22" xfId="3" applyNumberFormat="1" applyBorder="1" applyAlignment="1">
      <alignment vertical="center" wrapText="1"/>
    </xf>
    <xf numFmtId="0" fontId="0" fillId="0" borderId="47" xfId="0" applyBorder="1" applyAlignment="1">
      <alignment vertical="center" wrapText="1"/>
    </xf>
    <xf numFmtId="179" fontId="1" fillId="0" borderId="44" xfId="3" applyNumberFormat="1"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179" fontId="1" fillId="0" borderId="8" xfId="3" applyNumberFormat="1" applyBorder="1" applyAlignment="1">
      <alignment vertical="center" wrapText="1"/>
    </xf>
    <xf numFmtId="0" fontId="0" fillId="0" borderId="48" xfId="0" applyBorder="1" applyAlignment="1">
      <alignment vertical="center" wrapText="1"/>
    </xf>
    <xf numFmtId="0" fontId="0" fillId="0" borderId="45" xfId="0" applyBorder="1" applyAlignment="1">
      <alignment vertical="center" wrapText="1"/>
    </xf>
    <xf numFmtId="38" fontId="5" fillId="0" borderId="0" xfId="1" applyFont="1" applyFill="1" applyBorder="1" applyAlignment="1">
      <alignment horizontal="center" vertical="center" wrapText="1"/>
    </xf>
    <xf numFmtId="177" fontId="1" fillId="0" borderId="0" xfId="3" applyNumberFormat="1" applyAlignment="1">
      <alignment horizontal="left" vertical="center" wrapText="1"/>
    </xf>
    <xf numFmtId="38" fontId="1" fillId="0" borderId="57" xfId="1" applyFill="1" applyBorder="1" applyAlignment="1" applyProtection="1">
      <alignment horizontal="center" vertical="center" wrapText="1"/>
    </xf>
    <xf numFmtId="0" fontId="0" fillId="0" borderId="34" xfId="0" applyBorder="1" applyAlignment="1">
      <alignment horizontal="center" vertical="center" wrapText="1"/>
    </xf>
    <xf numFmtId="38" fontId="1" fillId="2" borderId="4" xfId="1" applyFill="1" applyBorder="1" applyAlignment="1" applyProtection="1">
      <alignment horizontal="center" vertical="center" wrapText="1"/>
    </xf>
    <xf numFmtId="38" fontId="1" fillId="2" borderId="6" xfId="1" applyFill="1" applyBorder="1" applyAlignment="1" applyProtection="1">
      <alignment horizontal="center" vertical="center" wrapText="1"/>
    </xf>
    <xf numFmtId="38" fontId="5" fillId="2" borderId="52" xfId="1" applyFont="1" applyFill="1" applyBorder="1" applyAlignment="1">
      <alignment horizontal="center" vertical="center" wrapText="1"/>
    </xf>
    <xf numFmtId="38" fontId="5" fillId="2" borderId="53" xfId="1" applyFont="1" applyFill="1" applyBorder="1" applyAlignment="1">
      <alignment horizontal="center" vertical="center" wrapText="1"/>
    </xf>
    <xf numFmtId="38" fontId="1" fillId="2" borderId="25" xfId="1" applyFill="1" applyBorder="1" applyAlignment="1" applyProtection="1">
      <alignment horizontal="center" vertical="center" wrapText="1"/>
    </xf>
    <xf numFmtId="38" fontId="1" fillId="2" borderId="26" xfId="1" applyFill="1" applyBorder="1" applyAlignment="1" applyProtection="1">
      <alignment horizontal="center" vertical="center" wrapText="1"/>
    </xf>
    <xf numFmtId="0" fontId="0" fillId="0" borderId="1" xfId="0" applyBorder="1" applyAlignment="1">
      <alignment horizontal="center" vertical="center" wrapText="1"/>
    </xf>
    <xf numFmtId="0" fontId="1" fillId="2" borderId="25" xfId="3" applyFill="1" applyBorder="1" applyAlignment="1">
      <alignment horizontal="center" vertical="center" wrapText="1" shrinkToFit="1"/>
    </xf>
    <xf numFmtId="0" fontId="1" fillId="2" borderId="26" xfId="3" applyFill="1" applyBorder="1" applyAlignment="1">
      <alignment horizontal="center" vertical="center" wrapText="1" shrinkToFit="1"/>
    </xf>
    <xf numFmtId="38" fontId="1" fillId="2" borderId="40" xfId="1" applyFill="1" applyBorder="1" applyAlignment="1" applyProtection="1">
      <alignment horizontal="center" vertical="center" wrapText="1"/>
    </xf>
    <xf numFmtId="38" fontId="1" fillId="2" borderId="41" xfId="1" applyFill="1" applyBorder="1" applyAlignment="1" applyProtection="1">
      <alignment horizontal="center" vertical="center" wrapText="1"/>
    </xf>
    <xf numFmtId="177" fontId="1" fillId="2" borderId="27" xfId="3" applyNumberFormat="1" applyFill="1" applyBorder="1" applyAlignment="1">
      <alignment horizontal="right" vertical="center" wrapText="1"/>
    </xf>
    <xf numFmtId="177" fontId="1" fillId="2" borderId="28" xfId="3" applyNumberFormat="1" applyFill="1" applyBorder="1" applyAlignment="1">
      <alignment horizontal="right" vertical="center" wrapText="1"/>
    </xf>
    <xf numFmtId="38" fontId="1" fillId="2" borderId="27" xfId="1" applyFill="1" applyBorder="1" applyAlignment="1" applyProtection="1">
      <alignment horizontal="right" vertical="center" wrapText="1"/>
    </xf>
    <xf numFmtId="38" fontId="1" fillId="0" borderId="0" xfId="1" applyFill="1" applyBorder="1" applyAlignment="1" applyProtection="1">
      <alignment horizontal="center" vertical="center" wrapText="1"/>
    </xf>
    <xf numFmtId="0" fontId="0" fillId="0" borderId="0" xfId="0" applyAlignment="1">
      <alignment horizontal="center" vertical="center" wrapText="1"/>
    </xf>
    <xf numFmtId="38" fontId="1" fillId="0" borderId="58" xfId="1" applyFill="1" applyBorder="1" applyAlignment="1" applyProtection="1">
      <alignment horizontal="center" vertical="center" shrinkToFit="1"/>
    </xf>
    <xf numFmtId="0" fontId="0" fillId="0" borderId="1" xfId="0" applyBorder="1" applyAlignment="1">
      <alignment horizontal="center" vertical="center" shrinkToFit="1"/>
    </xf>
    <xf numFmtId="38" fontId="1" fillId="0" borderId="50" xfId="1" applyFill="1" applyBorder="1" applyAlignment="1" applyProtection="1">
      <alignment horizontal="center" vertical="center" shrinkToFit="1"/>
    </xf>
    <xf numFmtId="0" fontId="0" fillId="0" borderId="59" xfId="0" applyBorder="1" applyAlignment="1">
      <alignment horizontal="center" vertical="center" shrinkToFit="1"/>
    </xf>
    <xf numFmtId="38" fontId="1" fillId="2" borderId="20" xfId="4" applyFont="1" applyFill="1" applyBorder="1" applyAlignment="1">
      <alignment horizontal="right" vertical="center" wrapText="1"/>
    </xf>
    <xf numFmtId="38" fontId="1" fillId="2" borderId="21" xfId="4" applyFont="1" applyFill="1" applyBorder="1" applyAlignment="1">
      <alignment horizontal="right" vertical="center" wrapText="1"/>
    </xf>
    <xf numFmtId="181" fontId="1" fillId="2" borderId="24" xfId="3" applyNumberFormat="1" applyFill="1" applyBorder="1" applyAlignment="1">
      <alignment horizontal="right" vertical="center"/>
    </xf>
    <xf numFmtId="0" fontId="0" fillId="0" borderId="51" xfId="0" applyBorder="1" applyAlignment="1">
      <alignment horizontal="right" vertical="center"/>
    </xf>
    <xf numFmtId="38" fontId="11" fillId="3" borderId="10" xfId="1" applyFont="1" applyFill="1" applyBorder="1" applyAlignment="1" applyProtection="1">
      <alignment horizontal="center" vertical="center"/>
    </xf>
    <xf numFmtId="38" fontId="11" fillId="3" borderId="12" xfId="1" applyFont="1" applyFill="1" applyBorder="1" applyAlignment="1" applyProtection="1">
      <alignment horizontal="center" vertical="center"/>
    </xf>
  </cellXfs>
  <cellStyles count="5">
    <cellStyle name="桁区切り" xfId="4" builtinId="6"/>
    <cellStyle name="桁区切り 2" xfId="1" xr:uid="{00000000-0005-0000-0000-000002000000}"/>
    <cellStyle name="桁区切り 2 2 3 2" xfId="2" xr:uid="{00000000-0005-0000-0000-000003000000}"/>
    <cellStyle name="標準" xfId="0" builtinId="0"/>
    <cellStyle name="標準 2" xfId="3" xr:uid="{00000000-0005-0000-0000-000005000000}"/>
  </cellStyles>
  <dxfs count="0"/>
  <tableStyles count="0" defaultTableStyle="TableStyleMedium2" defaultPivotStyle="PivotStyleLight16"/>
  <colors>
    <mruColors>
      <color rgb="FFFFFFCC"/>
      <color rgb="FF99FF66"/>
      <color rgb="FFCCFFCC"/>
      <color rgb="FF0066FF"/>
      <color rgb="FFFF99FF"/>
      <color rgb="FFD74F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45720</xdr:colOff>
      <xdr:row>4</xdr:row>
      <xdr:rowOff>53340</xdr:rowOff>
    </xdr:from>
    <xdr:to>
      <xdr:col>15</xdr:col>
      <xdr:colOff>487680</xdr:colOff>
      <xdr:row>4</xdr:row>
      <xdr:rowOff>335280</xdr:rowOff>
    </xdr:to>
    <xdr:sp macro="" textlink="">
      <xdr:nvSpPr>
        <xdr:cNvPr id="2" name="下矢印吹き出し 1">
          <a:extLst>
            <a:ext uri="{FF2B5EF4-FFF2-40B4-BE49-F238E27FC236}">
              <a16:creationId xmlns:a16="http://schemas.microsoft.com/office/drawing/2014/main" id="{54840815-98CA-478C-AC4C-AAB5680F4730}"/>
            </a:ext>
          </a:extLst>
        </xdr:cNvPr>
        <xdr:cNvSpPr/>
      </xdr:nvSpPr>
      <xdr:spPr>
        <a:xfrm>
          <a:off x="13525500" y="1592580"/>
          <a:ext cx="1447800" cy="281940"/>
        </a:xfrm>
        <a:prstGeom prst="wedgeRectCallout">
          <a:avLst>
            <a:gd name="adj1" fmla="val -31886"/>
            <a:gd name="adj2" fmla="val 86435"/>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末端補助率：要入力</a:t>
          </a:r>
          <a:endParaRPr kumimoji="1" lang="en-US" altLang="ja-JP" sz="1000">
            <a:solidFill>
              <a:srgbClr val="FF0000"/>
            </a:solidFill>
            <a:latin typeface="HG丸ｺﾞｼｯｸM-PRO"/>
            <a:ea typeface="HG丸ｺﾞｼｯｸM-PRO"/>
            <a:cs typeface="Arial Unicode M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73974" y="6409764"/>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44056C36-805B-410C-A904-AE70CBE57F72}"/>
            </a:ext>
          </a:extLst>
        </xdr:cNvPr>
        <xdr:cNvSpPr/>
      </xdr:nvSpPr>
      <xdr:spPr>
        <a:xfrm>
          <a:off x="16844682" y="2133599"/>
          <a:ext cx="1228165"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2" name="下矢印吹き出し 1">
          <a:extLst>
            <a:ext uri="{FF2B5EF4-FFF2-40B4-BE49-F238E27FC236}">
              <a16:creationId xmlns:a16="http://schemas.microsoft.com/office/drawing/2014/main" id="{C39AA06B-E051-4917-B95E-EFBA245582FE}"/>
            </a:ext>
          </a:extLst>
        </xdr:cNvPr>
        <xdr:cNvSpPr/>
      </xdr:nvSpPr>
      <xdr:spPr>
        <a:xfrm>
          <a:off x="16853647" y="3236260"/>
          <a:ext cx="1362635"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2" name="テキスト ボックス 1">
          <a:extLst>
            <a:ext uri="{FF2B5EF4-FFF2-40B4-BE49-F238E27FC236}">
              <a16:creationId xmlns:a16="http://schemas.microsoft.com/office/drawing/2014/main" id="{3F62E2DB-6690-4AD1-858A-8E8137D1ED8F}"/>
            </a:ext>
          </a:extLst>
        </xdr:cNvPr>
        <xdr:cNvSpPr txBox="1"/>
      </xdr:nvSpPr>
      <xdr:spPr>
        <a:xfrm>
          <a:off x="8265906" y="6367630"/>
          <a:ext cx="5061922" cy="1500842"/>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917512F3-BC76-4DDF-A7D4-385CB0A5D4BD}"/>
            </a:ext>
          </a:extLst>
        </xdr:cNvPr>
        <xdr:cNvSpPr/>
      </xdr:nvSpPr>
      <xdr:spPr>
        <a:xfrm>
          <a:off x="17644334" y="2126875"/>
          <a:ext cx="1322742" cy="363071"/>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4" name="下矢印吹き出し 1">
          <a:extLst>
            <a:ext uri="{FF2B5EF4-FFF2-40B4-BE49-F238E27FC236}">
              <a16:creationId xmlns:a16="http://schemas.microsoft.com/office/drawing/2014/main" id="{74995BCA-0920-418D-8F47-92A00766D6F9}"/>
            </a:ext>
          </a:extLst>
        </xdr:cNvPr>
        <xdr:cNvSpPr/>
      </xdr:nvSpPr>
      <xdr:spPr>
        <a:xfrm>
          <a:off x="17653299" y="3216089"/>
          <a:ext cx="1457212" cy="407896"/>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twoCellAnchor>
    <xdr:from>
      <xdr:col>5</xdr:col>
      <xdr:colOff>107576</xdr:colOff>
      <xdr:row>6</xdr:row>
      <xdr:rowOff>53788</xdr:rowOff>
    </xdr:from>
    <xdr:to>
      <xdr:col>7</xdr:col>
      <xdr:colOff>439270</xdr:colOff>
      <xdr:row>8</xdr:row>
      <xdr:rowOff>134471</xdr:rowOff>
    </xdr:to>
    <xdr:sp macro="" textlink="">
      <xdr:nvSpPr>
        <xdr:cNvPr id="5" name="テキスト ボックス 4">
          <a:extLst>
            <a:ext uri="{FF2B5EF4-FFF2-40B4-BE49-F238E27FC236}">
              <a16:creationId xmlns:a16="http://schemas.microsoft.com/office/drawing/2014/main" id="{723717B4-D6AA-453F-AAD6-2307D30940DE}"/>
            </a:ext>
          </a:extLst>
        </xdr:cNvPr>
        <xdr:cNvSpPr txBox="1"/>
      </xdr:nvSpPr>
      <xdr:spPr>
        <a:xfrm>
          <a:off x="2850776" y="2079812"/>
          <a:ext cx="1461247" cy="85164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導入資材に規格の記載がない場合は空欄でも可</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161365</xdr:colOff>
      <xdr:row>6</xdr:row>
      <xdr:rowOff>8963</xdr:rowOff>
    </xdr:from>
    <xdr:to>
      <xdr:col>31</xdr:col>
      <xdr:colOff>89647</xdr:colOff>
      <xdr:row>6</xdr:row>
      <xdr:rowOff>376516</xdr:rowOff>
    </xdr:to>
    <xdr:sp macro="" textlink="">
      <xdr:nvSpPr>
        <xdr:cNvPr id="4" name="下矢印吹き出し 1">
          <a:extLst>
            <a:ext uri="{FF2B5EF4-FFF2-40B4-BE49-F238E27FC236}">
              <a16:creationId xmlns:a16="http://schemas.microsoft.com/office/drawing/2014/main" id="{9C5D9029-19CB-456D-8FD9-D10241091DC8}"/>
            </a:ext>
          </a:extLst>
        </xdr:cNvPr>
        <xdr:cNvSpPr/>
      </xdr:nvSpPr>
      <xdr:spPr>
        <a:xfrm>
          <a:off x="16826753" y="2034987"/>
          <a:ext cx="1272988"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26</xdr:col>
      <xdr:colOff>35859</xdr:colOff>
      <xdr:row>9</xdr:row>
      <xdr:rowOff>53788</xdr:rowOff>
    </xdr:from>
    <xdr:to>
      <xdr:col>31</xdr:col>
      <xdr:colOff>367553</xdr:colOff>
      <xdr:row>10</xdr:row>
      <xdr:rowOff>80684</xdr:rowOff>
    </xdr:to>
    <xdr:sp macro="" textlink="">
      <xdr:nvSpPr>
        <xdr:cNvPr id="5" name="下矢印吹き出し 1">
          <a:extLst>
            <a:ext uri="{FF2B5EF4-FFF2-40B4-BE49-F238E27FC236}">
              <a16:creationId xmlns:a16="http://schemas.microsoft.com/office/drawing/2014/main" id="{40BEC32F-F505-4D69-AFF0-930B6338C233}"/>
            </a:ext>
          </a:extLst>
        </xdr:cNvPr>
        <xdr:cNvSpPr/>
      </xdr:nvSpPr>
      <xdr:spPr>
        <a:xfrm>
          <a:off x="16925365" y="3236259"/>
          <a:ext cx="1452282"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twoCellAnchor>
    <xdr:from>
      <xdr:col>13</xdr:col>
      <xdr:colOff>116541</xdr:colOff>
      <xdr:row>19</xdr:row>
      <xdr:rowOff>26894</xdr:rowOff>
    </xdr:from>
    <xdr:to>
      <xdr:col>19</xdr:col>
      <xdr:colOff>332143</xdr:colOff>
      <xdr:row>28</xdr:row>
      <xdr:rowOff>13598</xdr:rowOff>
    </xdr:to>
    <xdr:sp macro="" textlink="">
      <xdr:nvSpPr>
        <xdr:cNvPr id="6" name="テキスト ボックス 5">
          <a:extLst>
            <a:ext uri="{FF2B5EF4-FFF2-40B4-BE49-F238E27FC236}">
              <a16:creationId xmlns:a16="http://schemas.microsoft.com/office/drawing/2014/main" id="{A9D76BE1-3FC6-4D6F-9587-2E75ED8E057C}"/>
            </a:ext>
          </a:extLst>
        </xdr:cNvPr>
        <xdr:cNvSpPr txBox="1"/>
      </xdr:nvSpPr>
      <xdr:spPr>
        <a:xfrm>
          <a:off x="7790329" y="6589059"/>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P21"/>
  <sheetViews>
    <sheetView tabSelected="1" view="pageBreakPreview" zoomScaleSheetLayoutView="100" workbookViewId="0">
      <selection activeCell="P6" sqref="P6"/>
    </sheetView>
  </sheetViews>
  <sheetFormatPr defaultColWidth="9" defaultRowHeight="13.2" x14ac:dyDescent="0.45"/>
  <cols>
    <col min="1" max="1" width="14.8984375" style="1" customWidth="1"/>
    <col min="2" max="2" width="17.69921875" style="1" customWidth="1"/>
    <col min="3" max="5" width="16" style="1" customWidth="1"/>
    <col min="6" max="6" width="17.5" style="1" customWidth="1"/>
    <col min="7" max="10" width="15.8984375" style="1" customWidth="1"/>
    <col min="11" max="11" width="15.19921875" style="1" customWidth="1"/>
    <col min="12" max="13" width="2.09765625" style="1" customWidth="1"/>
    <col min="14" max="14" width="2.59765625" style="1" customWidth="1"/>
    <col min="15" max="15" width="6.3984375" style="1" customWidth="1"/>
    <col min="16" max="16" width="10.19921875" style="1" bestFit="1" customWidth="1"/>
    <col min="17" max="16384" width="9" style="1"/>
  </cols>
  <sheetData>
    <row r="1" spans="1:16" ht="37.200000000000003" customHeight="1" x14ac:dyDescent="0.45">
      <c r="A1" s="110" t="s">
        <v>40</v>
      </c>
      <c r="B1" s="111"/>
      <c r="C1" s="111"/>
      <c r="D1" s="111"/>
      <c r="E1" s="111"/>
      <c r="F1" s="111"/>
      <c r="G1" s="111"/>
      <c r="H1" s="111"/>
      <c r="I1" s="111"/>
      <c r="J1" s="111"/>
      <c r="K1" s="111"/>
    </row>
    <row r="2" spans="1:16" ht="27" customHeight="1" thickBot="1" x14ac:dyDescent="0.5">
      <c r="C2" s="2"/>
      <c r="D2" s="2"/>
      <c r="E2" s="2"/>
      <c r="F2" s="2"/>
      <c r="G2" s="2"/>
      <c r="H2" s="2"/>
      <c r="I2" s="2"/>
      <c r="J2" s="2"/>
    </row>
    <row r="3" spans="1:16" ht="30" customHeight="1" thickBot="1" x14ac:dyDescent="0.5">
      <c r="B3" s="73" t="s">
        <v>0</v>
      </c>
      <c r="C3" s="99" t="str">
        <f>買取りミツバチ!$C$6</f>
        <v>山形市</v>
      </c>
      <c r="D3" s="73" t="s">
        <v>47</v>
      </c>
      <c r="E3" s="133" t="str">
        <f>買取りミツバチ!$D$6</f>
        <v>やまがたさくらんぼ部会</v>
      </c>
      <c r="F3" s="134"/>
      <c r="G3" s="2"/>
      <c r="H3" s="2"/>
      <c r="I3" s="2"/>
      <c r="J3" s="2"/>
    </row>
    <row r="4" spans="1:16" ht="27" customHeight="1" thickBot="1" x14ac:dyDescent="0.5">
      <c r="A4" s="2"/>
      <c r="B4" s="2"/>
      <c r="C4" s="2"/>
      <c r="D4" s="2"/>
      <c r="E4" s="2"/>
      <c r="F4" s="2"/>
      <c r="G4" s="2"/>
      <c r="H4" s="2"/>
      <c r="I4" s="2"/>
      <c r="J4" s="13" t="s">
        <v>20</v>
      </c>
    </row>
    <row r="5" spans="1:16" ht="30" customHeight="1" x14ac:dyDescent="0.45">
      <c r="A5" s="113"/>
      <c r="B5" s="114" t="s">
        <v>43</v>
      </c>
      <c r="C5" s="116" t="s">
        <v>12</v>
      </c>
      <c r="D5" s="116" t="s">
        <v>17</v>
      </c>
      <c r="E5" s="116" t="s">
        <v>18</v>
      </c>
      <c r="F5" s="119" t="s">
        <v>3</v>
      </c>
      <c r="G5" s="120" t="s">
        <v>5</v>
      </c>
      <c r="H5" s="120" t="s">
        <v>69</v>
      </c>
      <c r="I5" s="122" t="s">
        <v>46</v>
      </c>
      <c r="J5" s="124" t="s">
        <v>14</v>
      </c>
    </row>
    <row r="6" spans="1:16" ht="30" customHeight="1" x14ac:dyDescent="0.45">
      <c r="A6" s="113"/>
      <c r="B6" s="115"/>
      <c r="C6" s="117"/>
      <c r="D6" s="117"/>
      <c r="E6" s="118"/>
      <c r="F6" s="118"/>
      <c r="G6" s="121"/>
      <c r="H6" s="121"/>
      <c r="I6" s="123"/>
      <c r="J6" s="125"/>
      <c r="L6" s="108">
        <v>1</v>
      </c>
      <c r="M6" s="107" t="s">
        <v>30</v>
      </c>
      <c r="N6" s="108">
        <v>2</v>
      </c>
      <c r="P6" s="109">
        <f>ROUNDDOWN(E10*L6/N6,-3)</f>
        <v>220000</v>
      </c>
    </row>
    <row r="7" spans="1:16" ht="27.6" customHeight="1" x14ac:dyDescent="0.45">
      <c r="A7" s="74"/>
      <c r="B7" s="80" t="s">
        <v>41</v>
      </c>
      <c r="C7" s="100">
        <f>買取りミツバチ!K16</f>
        <v>35200</v>
      </c>
      <c r="D7" s="100">
        <f>買取りミツバチ!L16</f>
        <v>32000</v>
      </c>
      <c r="E7" s="101">
        <f>買取りミツバチ!T16</f>
        <v>35200</v>
      </c>
      <c r="F7" s="126">
        <f>MIN(P7,P8)</f>
        <v>146000</v>
      </c>
      <c r="G7" s="126">
        <f>P6-F7</f>
        <v>74000</v>
      </c>
      <c r="H7" s="126">
        <f>SUM(F7:G9)</f>
        <v>220000</v>
      </c>
      <c r="I7" s="126">
        <f>ROUNDDOWN(E10*1/12,-3)</f>
        <v>36000</v>
      </c>
      <c r="J7" s="129">
        <f>C10-F7-G7-I7</f>
        <v>200500</v>
      </c>
      <c r="K7" s="14"/>
      <c r="L7" s="132" t="s">
        <v>70</v>
      </c>
      <c r="M7" s="111"/>
      <c r="N7" s="111"/>
      <c r="O7" s="15"/>
      <c r="P7" s="109">
        <f>ROUNDDOWN(E10/3,-3)</f>
        <v>146000</v>
      </c>
    </row>
    <row r="8" spans="1:16" ht="27.6" customHeight="1" x14ac:dyDescent="0.45">
      <c r="A8" s="74"/>
      <c r="B8" s="80" t="s">
        <v>68</v>
      </c>
      <c r="C8" s="104">
        <f>リースミツバチ!K16</f>
        <v>352000</v>
      </c>
      <c r="D8" s="104">
        <f>リースミツバチ!L16</f>
        <v>320000</v>
      </c>
      <c r="E8" s="105">
        <f>リースミツバチ!T16</f>
        <v>340000</v>
      </c>
      <c r="F8" s="127"/>
      <c r="G8" s="127"/>
      <c r="H8" s="127"/>
      <c r="I8" s="127"/>
      <c r="J8" s="130"/>
      <c r="K8" s="14"/>
      <c r="L8" s="132" t="s">
        <v>71</v>
      </c>
      <c r="M8" s="111"/>
      <c r="N8" s="111"/>
      <c r="O8" s="15"/>
      <c r="P8" s="109">
        <f>ROUNDDOWN(P6*2/3,-3)</f>
        <v>146000</v>
      </c>
    </row>
    <row r="9" spans="1:16" ht="27.6" customHeight="1" thickBot="1" x14ac:dyDescent="0.5">
      <c r="A9" s="74"/>
      <c r="B9" s="82" t="s">
        <v>42</v>
      </c>
      <c r="C9" s="102">
        <f>輸入花粉!K16</f>
        <v>69300</v>
      </c>
      <c r="D9" s="102">
        <f>輸入花粉!L16</f>
        <v>63000</v>
      </c>
      <c r="E9" s="103">
        <f>輸入花粉!T16</f>
        <v>65100</v>
      </c>
      <c r="F9" s="128"/>
      <c r="G9" s="128"/>
      <c r="H9" s="128"/>
      <c r="I9" s="128"/>
      <c r="J9" s="131"/>
      <c r="K9" s="14"/>
      <c r="L9" s="15"/>
      <c r="M9" s="14"/>
      <c r="N9" s="15"/>
      <c r="O9" s="15"/>
    </row>
    <row r="10" spans="1:16" ht="27.6" customHeight="1" thickTop="1" thickBot="1" x14ac:dyDescent="0.5">
      <c r="A10" s="74"/>
      <c r="B10" s="81" t="s">
        <v>50</v>
      </c>
      <c r="C10" s="78">
        <f>SUM(C7:C9)</f>
        <v>456500</v>
      </c>
      <c r="D10" s="78">
        <f t="shared" ref="D10" si="0">SUM(D7:D9)</f>
        <v>415000</v>
      </c>
      <c r="E10" s="78">
        <f>SUM(E7:E9)</f>
        <v>440300</v>
      </c>
      <c r="F10" s="106"/>
      <c r="G10" s="106"/>
      <c r="H10" s="106"/>
      <c r="I10" s="106"/>
      <c r="J10" s="106"/>
    </row>
    <row r="11" spans="1:16" ht="27" customHeight="1" x14ac:dyDescent="0.45">
      <c r="F11" s="10"/>
      <c r="G11" s="11"/>
      <c r="H11" s="11"/>
      <c r="L11" s="112"/>
      <c r="M11" s="112"/>
      <c r="N11" s="112"/>
      <c r="O11" s="112"/>
    </row>
    <row r="12" spans="1:16" ht="21.75" customHeight="1" x14ac:dyDescent="0.45">
      <c r="C12" s="83"/>
      <c r="D12" s="83"/>
      <c r="E12" s="83"/>
      <c r="F12" s="83"/>
      <c r="G12" s="83"/>
      <c r="H12" s="83"/>
      <c r="I12" s="83"/>
    </row>
    <row r="13" spans="1:16" ht="21.75" customHeight="1" x14ac:dyDescent="0.45">
      <c r="G13" s="12"/>
      <c r="H13" s="12"/>
      <c r="I13" s="12"/>
      <c r="N13" s="16"/>
    </row>
    <row r="14" spans="1:16" ht="14.25" customHeight="1" x14ac:dyDescent="0.45">
      <c r="D14" s="5"/>
      <c r="E14" s="9"/>
      <c r="G14" s="6"/>
      <c r="H14" s="6"/>
      <c r="I14" s="6"/>
    </row>
    <row r="15" spans="1:16" ht="14.25" customHeight="1" x14ac:dyDescent="0.45">
      <c r="C15" s="4"/>
      <c r="D15" s="6"/>
      <c r="E15" s="6"/>
      <c r="G15" s="6"/>
      <c r="H15" s="6"/>
      <c r="I15" s="4"/>
    </row>
    <row r="16" spans="1:16" ht="14.25" customHeight="1" x14ac:dyDescent="0.45">
      <c r="C16" s="4"/>
      <c r="D16" s="6"/>
      <c r="E16" s="6"/>
      <c r="G16" s="6"/>
      <c r="H16" s="6"/>
      <c r="I16" s="4"/>
    </row>
    <row r="17" spans="3:9" ht="14.25" customHeight="1" x14ac:dyDescent="0.45">
      <c r="C17" s="4"/>
      <c r="D17" s="6"/>
      <c r="E17" s="6"/>
      <c r="G17" s="6"/>
      <c r="H17" s="6"/>
      <c r="I17" s="4"/>
    </row>
    <row r="18" spans="3:9" ht="14.25" customHeight="1" x14ac:dyDescent="0.45">
      <c r="C18" s="4"/>
      <c r="D18" s="6"/>
      <c r="E18" s="6"/>
      <c r="G18" s="6"/>
      <c r="H18" s="6"/>
      <c r="I18" s="4"/>
    </row>
    <row r="19" spans="3:9" ht="14.25" customHeight="1" x14ac:dyDescent="0.45">
      <c r="C19" s="4"/>
      <c r="D19" s="6"/>
      <c r="E19" s="6"/>
      <c r="G19" s="6"/>
      <c r="H19" s="6"/>
      <c r="I19" s="4"/>
    </row>
    <row r="20" spans="3:9" ht="14.25" customHeight="1" x14ac:dyDescent="0.45">
      <c r="D20" s="7"/>
      <c r="E20" s="7"/>
      <c r="G20" s="7"/>
      <c r="H20" s="7"/>
    </row>
    <row r="21" spans="3:9" ht="14.25" customHeight="1" x14ac:dyDescent="0.45">
      <c r="D21" s="8"/>
      <c r="E21" s="8"/>
      <c r="G21" s="8"/>
      <c r="H21" s="8"/>
      <c r="I21" s="13"/>
    </row>
  </sheetData>
  <mergeCells count="20">
    <mergeCell ref="J7:J9"/>
    <mergeCell ref="L7:N7"/>
    <mergeCell ref="L8:N8"/>
    <mergeCell ref="E3:F3"/>
    <mergeCell ref="A1:K1"/>
    <mergeCell ref="L11:O11"/>
    <mergeCell ref="A5:A6"/>
    <mergeCell ref="B5:B6"/>
    <mergeCell ref="C5:C6"/>
    <mergeCell ref="D5:D6"/>
    <mergeCell ref="E5:E6"/>
    <mergeCell ref="F5:F6"/>
    <mergeCell ref="G5:G6"/>
    <mergeCell ref="I5:I6"/>
    <mergeCell ref="J5:J6"/>
    <mergeCell ref="H5:H6"/>
    <mergeCell ref="F7:F9"/>
    <mergeCell ref="G7:G9"/>
    <mergeCell ref="H7:H9"/>
    <mergeCell ref="I7:I9"/>
  </mergeCells>
  <phoneticPr fontId="3"/>
  <printOptions horizontalCentered="1"/>
  <pageMargins left="0.70866141732283472" right="0.70866141732283472" top="0.74803149606299213" bottom="0.74803149606299213" header="0.70866141732283472" footer="0.31496062992125984"/>
  <pageSetup paperSize="9" scale="68" orientation="landscape"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G54"/>
  <sheetViews>
    <sheetView view="pageBreakPreview" zoomScale="85" zoomScaleNormal="85" zoomScaleSheetLayoutView="85" workbookViewId="0">
      <selection activeCell="F7" sqref="F7:H7"/>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32</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25</v>
      </c>
      <c r="G4" s="168"/>
      <c r="H4" s="168"/>
      <c r="I4" s="137" t="s">
        <v>26</v>
      </c>
      <c r="J4" s="138"/>
      <c r="K4" s="116" t="s">
        <v>1</v>
      </c>
      <c r="L4" s="116" t="s">
        <v>6</v>
      </c>
      <c r="M4" s="116" t="s">
        <v>2</v>
      </c>
      <c r="N4" s="144" t="s">
        <v>10</v>
      </c>
      <c r="O4" s="144" t="s">
        <v>21</v>
      </c>
      <c r="P4" s="116" t="s">
        <v>11</v>
      </c>
      <c r="Q4" s="141" t="s">
        <v>34</v>
      </c>
      <c r="R4" s="116" t="s">
        <v>54</v>
      </c>
      <c r="S4" s="116" t="s">
        <v>35</v>
      </c>
      <c r="T4" s="171" t="s">
        <v>36</v>
      </c>
      <c r="U4" s="173" t="s">
        <v>45</v>
      </c>
      <c r="V4" s="173" t="s">
        <v>15</v>
      </c>
      <c r="W4" s="173" t="s">
        <v>44</v>
      </c>
      <c r="X4" s="176" t="s">
        <v>16</v>
      </c>
      <c r="Y4" s="178" t="s">
        <v>19</v>
      </c>
      <c r="Z4" s="90"/>
    </row>
    <row r="5" spans="1:33" s="15" customFormat="1" ht="30" customHeight="1" thickBot="1" x14ac:dyDescent="0.5">
      <c r="B5" s="148"/>
      <c r="C5" s="150"/>
      <c r="D5" s="150"/>
      <c r="E5" s="170"/>
      <c r="F5" s="139"/>
      <c r="G5" s="175"/>
      <c r="H5" s="175"/>
      <c r="I5" s="139"/>
      <c r="J5" s="140"/>
      <c r="K5" s="143"/>
      <c r="L5" s="143"/>
      <c r="M5" s="143"/>
      <c r="N5" s="145"/>
      <c r="O5" s="145"/>
      <c r="P5" s="146"/>
      <c r="Q5" s="142"/>
      <c r="R5" s="143"/>
      <c r="S5" s="143"/>
      <c r="T5" s="172"/>
      <c r="U5" s="174"/>
      <c r="V5" s="174"/>
      <c r="W5" s="174"/>
      <c r="X5" s="177"/>
      <c r="Y5" s="179"/>
      <c r="Z5" s="90"/>
      <c r="AA5" s="21" t="s">
        <v>27</v>
      </c>
      <c r="AB5" s="21"/>
      <c r="AC5" s="26"/>
      <c r="AD5" s="26"/>
      <c r="AF5" s="68" t="s">
        <v>52</v>
      </c>
      <c r="AG5" s="68" t="s">
        <v>53</v>
      </c>
    </row>
    <row r="6" spans="1:33" s="15" customFormat="1" ht="30" customHeight="1" x14ac:dyDescent="0.45">
      <c r="B6" s="151"/>
      <c r="C6" s="153" t="s">
        <v>23</v>
      </c>
      <c r="D6" s="155" t="s">
        <v>59</v>
      </c>
      <c r="E6" s="31" t="s">
        <v>56</v>
      </c>
      <c r="F6" s="157" t="s">
        <v>72</v>
      </c>
      <c r="G6" s="158"/>
      <c r="H6" s="158"/>
      <c r="I6" s="69">
        <v>1</v>
      </c>
      <c r="J6" s="65" t="s">
        <v>24</v>
      </c>
      <c r="K6" s="37">
        <f t="shared" ref="K6:K15" si="0">ROUND($L6*1.1,0)</f>
        <v>35200</v>
      </c>
      <c r="L6" s="40">
        <v>32000</v>
      </c>
      <c r="M6" s="42" t="s">
        <v>7</v>
      </c>
      <c r="N6" s="37">
        <f>O6+P6</f>
        <v>35200</v>
      </c>
      <c r="O6" s="40">
        <v>32000</v>
      </c>
      <c r="P6" s="51">
        <f>INT(O6*0.1)</f>
        <v>3200</v>
      </c>
      <c r="Q6" s="72">
        <f t="shared" ref="Q6:Q15" si="1">ROUND(IF($M6=$B$20,$N6,$O6),0)</f>
        <v>35200</v>
      </c>
      <c r="R6" s="79" cm="1">
        <f t="array" ref="R6">_xlfn.IFS($M6=$B$20,$D$20,$M6=$B$19,$D$19,$M6="",0)</f>
        <v>36000</v>
      </c>
      <c r="S6" s="98">
        <f>R6*I6</f>
        <v>36000</v>
      </c>
      <c r="T6" s="52">
        <f>IF($M6=$B$20,MIN(N6,S6),MIN(O6,S6))</f>
        <v>35200</v>
      </c>
      <c r="U6" s="180">
        <f>MIN(AF6:AG6)</f>
        <v>11000</v>
      </c>
      <c r="V6" s="180">
        <f>AF8-U6</f>
        <v>6000</v>
      </c>
      <c r="W6" s="180">
        <f>ROUNDDOWN(T16*AC11/AE11,-3)</f>
        <v>2000</v>
      </c>
      <c r="X6" s="182">
        <f>SUM(U6:W15)</f>
        <v>19000</v>
      </c>
      <c r="Y6" s="189">
        <f>K16-U6-V6-W6</f>
        <v>16200</v>
      </c>
      <c r="Z6" s="93"/>
      <c r="AD6" s="183" t="s">
        <v>28</v>
      </c>
      <c r="AE6" s="184"/>
      <c r="AF6" s="15">
        <f>ROUNDDOWN(T16*1/3,-3)</f>
        <v>11000</v>
      </c>
      <c r="AG6" s="15">
        <f>ROUNDDOWN(AF8*2/3,-3)</f>
        <v>11000</v>
      </c>
    </row>
    <row r="7" spans="1:33" s="15" customFormat="1" ht="30" customHeight="1" thickBot="1" x14ac:dyDescent="0.5">
      <c r="B7" s="151"/>
      <c r="C7" s="153"/>
      <c r="D7" s="155"/>
      <c r="E7" s="31"/>
      <c r="F7" s="159"/>
      <c r="G7" s="160"/>
      <c r="H7" s="161"/>
      <c r="I7" s="70"/>
      <c r="J7" s="65" t="s">
        <v>24</v>
      </c>
      <c r="K7" s="37">
        <f t="shared" si="0"/>
        <v>0</v>
      </c>
      <c r="L7" s="40"/>
      <c r="M7" s="42"/>
      <c r="N7" s="37">
        <f t="shared" ref="N7" si="2">O7+P7</f>
        <v>0</v>
      </c>
      <c r="O7" s="40"/>
      <c r="P7" s="51">
        <f>INT(O7*0.1)</f>
        <v>0</v>
      </c>
      <c r="Q7" s="72">
        <f>ROUND(IF($M7=$B$20,$N7,$O7),0)</f>
        <v>0</v>
      </c>
      <c r="R7" s="79" cm="1">
        <f t="array" ref="R7">_xlfn.IFS($M7=$B$20,$D$20,$M7=$B$19,$D$19,$M7="",0)</f>
        <v>0</v>
      </c>
      <c r="S7" s="79">
        <f t="shared" ref="S7:S15" si="3">R7*I7</f>
        <v>0</v>
      </c>
      <c r="T7" s="52">
        <f>IF($M7=$B$20,MIN(N7,S7),MIN(O7,S7))</f>
        <v>0</v>
      </c>
      <c r="U7" s="180"/>
      <c r="V7" s="180"/>
      <c r="W7" s="180"/>
      <c r="X7" s="182"/>
      <c r="Y7" s="189"/>
      <c r="Z7" s="93"/>
    </row>
    <row r="8" spans="1:33" s="15" customFormat="1" ht="30" customHeight="1" x14ac:dyDescent="0.45">
      <c r="B8" s="151"/>
      <c r="C8" s="153"/>
      <c r="D8" s="155"/>
      <c r="E8" s="31"/>
      <c r="F8" s="159"/>
      <c r="G8" s="160"/>
      <c r="H8" s="161"/>
      <c r="I8" s="70"/>
      <c r="J8" s="65" t="s">
        <v>24</v>
      </c>
      <c r="K8" s="37">
        <f t="shared" si="0"/>
        <v>0</v>
      </c>
      <c r="L8" s="40"/>
      <c r="M8" s="42"/>
      <c r="N8" s="37">
        <f t="shared" ref="N8:N15" si="4">O8+P8</f>
        <v>0</v>
      </c>
      <c r="O8" s="40"/>
      <c r="P8" s="51">
        <f t="shared" ref="P8:P15" si="5">INT(O8*0.1)</f>
        <v>0</v>
      </c>
      <c r="Q8" s="72">
        <f>ROUND(IF($M8=$B$20,$N8,$O8),0)</f>
        <v>0</v>
      </c>
      <c r="R8" s="79" cm="1">
        <f t="array" ref="R8">_xlfn.IFS($M8=$B$20,$D$20,$M8=$B$19,$D$19,$M8="",0)</f>
        <v>0</v>
      </c>
      <c r="S8" s="79">
        <f t="shared" si="3"/>
        <v>0</v>
      </c>
      <c r="T8" s="52">
        <f>IF($M8=$B$20,MIN(N8,S8),MIN(O8,S8))</f>
        <v>0</v>
      </c>
      <c r="U8" s="180"/>
      <c r="V8" s="180"/>
      <c r="W8" s="180"/>
      <c r="X8" s="182"/>
      <c r="Y8" s="189"/>
      <c r="Z8" s="93"/>
      <c r="AA8" s="167" t="s">
        <v>51</v>
      </c>
      <c r="AB8" s="168"/>
      <c r="AC8" s="84">
        <v>6</v>
      </c>
      <c r="AD8" s="85" t="s">
        <v>30</v>
      </c>
      <c r="AE8" s="86">
        <v>12</v>
      </c>
      <c r="AF8" s="15">
        <f>ROUNDDOWN(T16*AC8/AE8,-3)</f>
        <v>17000</v>
      </c>
    </row>
    <row r="9" spans="1:33" s="15" customFormat="1" ht="30" customHeight="1" thickBot="1" x14ac:dyDescent="0.5">
      <c r="B9" s="151"/>
      <c r="C9" s="153"/>
      <c r="D9" s="155"/>
      <c r="E9" s="32"/>
      <c r="F9" s="159"/>
      <c r="G9" s="160"/>
      <c r="H9" s="161"/>
      <c r="I9" s="70"/>
      <c r="J9" s="65" t="s">
        <v>24</v>
      </c>
      <c r="K9" s="37">
        <f t="shared" si="0"/>
        <v>0</v>
      </c>
      <c r="L9" s="40"/>
      <c r="M9" s="42"/>
      <c r="N9" s="37">
        <f t="shared" si="4"/>
        <v>0</v>
      </c>
      <c r="O9" s="40"/>
      <c r="P9" s="51">
        <f t="shared" si="5"/>
        <v>0</v>
      </c>
      <c r="Q9" s="72">
        <f>ROUND(IF($M9=$B$20,$N9,$O9),0)</f>
        <v>0</v>
      </c>
      <c r="R9" s="79" cm="1">
        <f t="array" ref="R9">_xlfn.IFS($M9=$B$20,$D$20,$M9=$B$19,$D$19,$M9="",0)</f>
        <v>0</v>
      </c>
      <c r="S9" s="79">
        <f t="shared" si="3"/>
        <v>0</v>
      </c>
      <c r="T9" s="52">
        <f t="shared" ref="T9:T15" si="6">IF($M9=$B$20,MIN(N9,S9),MIN(O9,S9))</f>
        <v>0</v>
      </c>
      <c r="U9" s="180"/>
      <c r="V9" s="180"/>
      <c r="W9" s="180"/>
      <c r="X9" s="182"/>
      <c r="Y9" s="189"/>
      <c r="Z9" s="93"/>
      <c r="AA9" s="185" t="s">
        <v>29</v>
      </c>
      <c r="AB9" s="186"/>
      <c r="AC9" s="87">
        <v>1</v>
      </c>
      <c r="AD9" s="88" t="s">
        <v>30</v>
      </c>
      <c r="AE9" s="89">
        <v>6</v>
      </c>
    </row>
    <row r="10" spans="1:33" s="15" customFormat="1" ht="30" customHeight="1" thickBot="1" x14ac:dyDescent="0.5">
      <c r="B10" s="151"/>
      <c r="C10" s="153"/>
      <c r="D10" s="155"/>
      <c r="E10" s="32"/>
      <c r="F10" s="159"/>
      <c r="G10" s="160"/>
      <c r="H10" s="161"/>
      <c r="I10" s="70"/>
      <c r="J10" s="65" t="s">
        <v>24</v>
      </c>
      <c r="K10" s="37">
        <f t="shared" si="0"/>
        <v>0</v>
      </c>
      <c r="L10" s="40"/>
      <c r="M10" s="42"/>
      <c r="N10" s="37">
        <f t="shared" si="4"/>
        <v>0</v>
      </c>
      <c r="O10" s="40"/>
      <c r="P10" s="51">
        <f t="shared" si="5"/>
        <v>0</v>
      </c>
      <c r="Q10" s="72">
        <f>ROUND(IF($M10=$B$20,$N10,$O10),0)</f>
        <v>0</v>
      </c>
      <c r="R10" s="79" cm="1">
        <f t="array" ref="R10">_xlfn.IFS($M10=$B$20,$D$20,$M10=$B$19,$D$19,$M10="",0)</f>
        <v>0</v>
      </c>
      <c r="S10" s="79">
        <f t="shared" si="3"/>
        <v>0</v>
      </c>
      <c r="T10" s="52">
        <f t="shared" si="6"/>
        <v>0</v>
      </c>
      <c r="U10" s="180"/>
      <c r="V10" s="180"/>
      <c r="W10" s="180"/>
      <c r="X10" s="182"/>
      <c r="Y10" s="189"/>
      <c r="Z10" s="93"/>
    </row>
    <row r="11" spans="1:33" s="15" customFormat="1" ht="30" customHeight="1" thickBot="1" x14ac:dyDescent="0.5">
      <c r="B11" s="151"/>
      <c r="C11" s="153"/>
      <c r="D11" s="155"/>
      <c r="E11" s="32"/>
      <c r="F11" s="159"/>
      <c r="G11" s="160"/>
      <c r="H11" s="161"/>
      <c r="I11" s="70"/>
      <c r="J11" s="65" t="s">
        <v>24</v>
      </c>
      <c r="K11" s="37">
        <f t="shared" si="0"/>
        <v>0</v>
      </c>
      <c r="L11" s="40"/>
      <c r="M11" s="42"/>
      <c r="N11" s="37">
        <f t="shared" si="4"/>
        <v>0</v>
      </c>
      <c r="O11" s="40"/>
      <c r="P11" s="51">
        <f t="shared" si="5"/>
        <v>0</v>
      </c>
      <c r="Q11" s="72">
        <f t="shared" si="1"/>
        <v>0</v>
      </c>
      <c r="R11" s="79" cm="1">
        <f t="array" ref="R11">_xlfn.IFS($M11=$B$20,$D$20,$M11=$B$19,$D$19,$M11="",0)</f>
        <v>0</v>
      </c>
      <c r="S11" s="79">
        <f t="shared" si="3"/>
        <v>0</v>
      </c>
      <c r="T11" s="52">
        <f t="shared" si="6"/>
        <v>0</v>
      </c>
      <c r="U11" s="180">
        <f>MIN(AF13:AF14)/1000</f>
        <v>0</v>
      </c>
      <c r="V11" s="180">
        <f>MIN(AG13:AG14)/1000</f>
        <v>0</v>
      </c>
      <c r="W11" s="180">
        <f>MIN(AH13:AH14)/1000</f>
        <v>0</v>
      </c>
      <c r="X11" s="182">
        <f>AF11/1000</f>
        <v>0</v>
      </c>
      <c r="Y11" s="189"/>
      <c r="Z11" s="91"/>
      <c r="AA11" s="187" t="s">
        <v>31</v>
      </c>
      <c r="AB11" s="188"/>
      <c r="AC11" s="95">
        <v>1</v>
      </c>
      <c r="AD11" s="96" t="s">
        <v>30</v>
      </c>
      <c r="AE11" s="97">
        <v>12</v>
      </c>
    </row>
    <row r="12" spans="1:33" s="15" customFormat="1" ht="30" customHeight="1" x14ac:dyDescent="0.45">
      <c r="B12" s="151"/>
      <c r="C12" s="153"/>
      <c r="D12" s="155"/>
      <c r="E12" s="32"/>
      <c r="F12" s="159"/>
      <c r="G12" s="160"/>
      <c r="H12" s="161"/>
      <c r="I12" s="70"/>
      <c r="J12" s="65" t="s">
        <v>24</v>
      </c>
      <c r="K12" s="37">
        <f t="shared" si="0"/>
        <v>0</v>
      </c>
      <c r="L12" s="40"/>
      <c r="M12" s="42"/>
      <c r="N12" s="37">
        <f t="shared" si="4"/>
        <v>0</v>
      </c>
      <c r="O12" s="40"/>
      <c r="P12" s="51">
        <f t="shared" si="5"/>
        <v>0</v>
      </c>
      <c r="Q12" s="72">
        <f t="shared" si="1"/>
        <v>0</v>
      </c>
      <c r="R12" s="79" cm="1">
        <f t="array" ref="R12">_xlfn.IFS($M12=$B$20,$D$20,$M12=$B$19,$D$19,$M12="",0)</f>
        <v>0</v>
      </c>
      <c r="S12" s="79">
        <f t="shared" si="3"/>
        <v>0</v>
      </c>
      <c r="T12" s="52">
        <f t="shared" si="6"/>
        <v>0</v>
      </c>
      <c r="U12" s="180"/>
      <c r="V12" s="180"/>
      <c r="W12" s="180"/>
      <c r="X12" s="182"/>
      <c r="Y12" s="189"/>
      <c r="Z12" s="91"/>
    </row>
    <row r="13" spans="1:33" s="15" customFormat="1" ht="30" customHeight="1" x14ac:dyDescent="0.45">
      <c r="B13" s="151"/>
      <c r="C13" s="153"/>
      <c r="D13" s="155"/>
      <c r="E13" s="32"/>
      <c r="F13" s="159"/>
      <c r="G13" s="160"/>
      <c r="H13" s="161"/>
      <c r="I13" s="70"/>
      <c r="J13" s="65" t="s">
        <v>24</v>
      </c>
      <c r="K13" s="37">
        <f t="shared" si="0"/>
        <v>0</v>
      </c>
      <c r="L13" s="40"/>
      <c r="M13" s="42"/>
      <c r="N13" s="37">
        <f t="shared" si="4"/>
        <v>0</v>
      </c>
      <c r="O13" s="40"/>
      <c r="P13" s="51">
        <f t="shared" si="5"/>
        <v>0</v>
      </c>
      <c r="Q13" s="72">
        <f t="shared" si="1"/>
        <v>0</v>
      </c>
      <c r="R13" s="79" cm="1">
        <f t="array" ref="R13">_xlfn.IFS($M13=$B$20,$D$20,$M13=$B$19,$D$19,$M13="",0)</f>
        <v>0</v>
      </c>
      <c r="S13" s="79">
        <f t="shared" si="3"/>
        <v>0</v>
      </c>
      <c r="T13" s="52">
        <f t="shared" si="6"/>
        <v>0</v>
      </c>
      <c r="U13" s="180"/>
      <c r="V13" s="180"/>
      <c r="W13" s="180"/>
      <c r="X13" s="182"/>
      <c r="Y13" s="189"/>
      <c r="Z13" s="91"/>
    </row>
    <row r="14" spans="1:33" s="15" customFormat="1" ht="30" customHeight="1" x14ac:dyDescent="0.45">
      <c r="B14" s="151"/>
      <c r="C14" s="153"/>
      <c r="D14" s="155"/>
      <c r="E14" s="32"/>
      <c r="F14" s="159"/>
      <c r="G14" s="160"/>
      <c r="H14" s="161"/>
      <c r="I14" s="70"/>
      <c r="J14" s="65" t="s">
        <v>24</v>
      </c>
      <c r="K14" s="37">
        <f t="shared" si="0"/>
        <v>0</v>
      </c>
      <c r="L14" s="40"/>
      <c r="M14" s="42"/>
      <c r="N14" s="37">
        <f t="shared" si="4"/>
        <v>0</v>
      </c>
      <c r="O14" s="40"/>
      <c r="P14" s="51">
        <f t="shared" si="5"/>
        <v>0</v>
      </c>
      <c r="Q14" s="72">
        <f t="shared" si="1"/>
        <v>0</v>
      </c>
      <c r="R14" s="79" cm="1">
        <f t="array" ref="R14">_xlfn.IFS($M14=$B$20,$D$20,$M14=$B$19,$D$19,$M14="",0)</f>
        <v>0</v>
      </c>
      <c r="S14" s="79">
        <f t="shared" si="3"/>
        <v>0</v>
      </c>
      <c r="T14" s="52">
        <f t="shared" si="6"/>
        <v>0</v>
      </c>
      <c r="U14" s="180"/>
      <c r="V14" s="180"/>
      <c r="W14" s="180"/>
      <c r="X14" s="182"/>
      <c r="Y14" s="189"/>
      <c r="Z14" s="91"/>
    </row>
    <row r="15" spans="1:33" s="15" customFormat="1" ht="30" customHeight="1" thickBot="1" x14ac:dyDescent="0.5">
      <c r="B15" s="151"/>
      <c r="C15" s="154"/>
      <c r="D15" s="156"/>
      <c r="E15" s="33"/>
      <c r="F15" s="162"/>
      <c r="G15" s="163"/>
      <c r="H15" s="164"/>
      <c r="I15" s="70"/>
      <c r="J15" s="65" t="s">
        <v>24</v>
      </c>
      <c r="K15" s="37">
        <f t="shared" si="0"/>
        <v>0</v>
      </c>
      <c r="L15" s="41"/>
      <c r="M15" s="42"/>
      <c r="N15" s="37">
        <f t="shared" si="4"/>
        <v>0</v>
      </c>
      <c r="O15" s="48"/>
      <c r="P15" s="51">
        <f t="shared" si="5"/>
        <v>0</v>
      </c>
      <c r="Q15" s="72">
        <f t="shared" si="1"/>
        <v>0</v>
      </c>
      <c r="R15" s="79" cm="1">
        <f t="array" ref="R15">_xlfn.IFS($M15=$B$20,$D$20,$M15=$B$19,$D$19,$M15="",0)</f>
        <v>0</v>
      </c>
      <c r="S15" s="98">
        <f t="shared" si="3"/>
        <v>0</v>
      </c>
      <c r="T15" s="52">
        <f t="shared" si="6"/>
        <v>0</v>
      </c>
      <c r="U15" s="181"/>
      <c r="V15" s="181"/>
      <c r="W15" s="181"/>
      <c r="X15" s="182"/>
      <c r="Y15" s="190"/>
      <c r="Z15" s="91"/>
    </row>
    <row r="16" spans="1:33" s="15" customFormat="1" ht="20.100000000000001" customHeight="1" thickTop="1" thickBot="1" x14ac:dyDescent="0.5">
      <c r="B16" s="152"/>
      <c r="C16" s="27"/>
      <c r="D16" s="27"/>
      <c r="E16" s="34"/>
      <c r="F16" s="35"/>
      <c r="G16" s="36"/>
      <c r="H16" s="36"/>
      <c r="I16" s="67">
        <f>SUM(I6:I15)</f>
        <v>1</v>
      </c>
      <c r="J16" s="66"/>
      <c r="K16" s="3">
        <f>SUM(K6:K15)</f>
        <v>35200</v>
      </c>
      <c r="L16" s="3">
        <f>SUM(L6:L15)</f>
        <v>32000</v>
      </c>
      <c r="M16" s="43"/>
      <c r="N16" s="46">
        <f>SUM(N6:N15)</f>
        <v>35200</v>
      </c>
      <c r="O16" s="49">
        <f>SUM(O6:O15)</f>
        <v>32000</v>
      </c>
      <c r="P16" s="49">
        <f>SUM(P6:P15)</f>
        <v>3200</v>
      </c>
      <c r="Q16" s="71"/>
      <c r="R16" s="71"/>
      <c r="S16" s="71"/>
      <c r="T16" s="53">
        <f>SUM(T6:T15)</f>
        <v>35200</v>
      </c>
      <c r="U16" s="62"/>
      <c r="V16" s="62"/>
      <c r="W16" s="62"/>
      <c r="X16" s="62"/>
      <c r="Y16" s="64"/>
      <c r="Z16" s="94"/>
      <c r="AA16" s="166">
        <f>X6+Y6</f>
        <v>35200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W4:W5"/>
    <mergeCell ref="AD6:AE6"/>
    <mergeCell ref="AA9:AB9"/>
    <mergeCell ref="AA11:AB11"/>
    <mergeCell ref="W6:W15"/>
    <mergeCell ref="Y6:Y15"/>
    <mergeCell ref="O19:O20"/>
    <mergeCell ref="P19:P20"/>
    <mergeCell ref="AA16:AE16"/>
    <mergeCell ref="AA8:AB8"/>
    <mergeCell ref="D4:D5"/>
    <mergeCell ref="E4:E5"/>
    <mergeCell ref="K4:K5"/>
    <mergeCell ref="T4:T5"/>
    <mergeCell ref="U4:U5"/>
    <mergeCell ref="V4:V5"/>
    <mergeCell ref="F4:H5"/>
    <mergeCell ref="X4:X5"/>
    <mergeCell ref="Y4:Y5"/>
    <mergeCell ref="U6:U15"/>
    <mergeCell ref="V6:V15"/>
    <mergeCell ref="X6:X15"/>
    <mergeCell ref="B6:B16"/>
    <mergeCell ref="C6:C15"/>
    <mergeCell ref="D6:D15"/>
    <mergeCell ref="F6:H6"/>
    <mergeCell ref="F7:H7"/>
    <mergeCell ref="F8:H8"/>
    <mergeCell ref="F9:H9"/>
    <mergeCell ref="F10:H10"/>
    <mergeCell ref="F11:H11"/>
    <mergeCell ref="F12:H12"/>
    <mergeCell ref="F13:H13"/>
    <mergeCell ref="F14:H14"/>
    <mergeCell ref="F15:H15"/>
    <mergeCell ref="A2:T2"/>
    <mergeCell ref="B3:D3"/>
    <mergeCell ref="I4:J5"/>
    <mergeCell ref="Q4:Q5"/>
    <mergeCell ref="R4:R5"/>
    <mergeCell ref="L4:L5"/>
    <mergeCell ref="M4:M5"/>
    <mergeCell ref="N4:N5"/>
    <mergeCell ref="O4:O5"/>
    <mergeCell ref="P4:P5"/>
    <mergeCell ref="B4:B5"/>
    <mergeCell ref="C4:C5"/>
    <mergeCell ref="S4:S5"/>
  </mergeCells>
  <phoneticPr fontId="3"/>
  <dataValidations count="2">
    <dataValidation type="list" allowBlank="1" showInputMessage="1" showErrorMessage="1" sqref="M6:M15" xr:uid="{00000000-0002-0000-0100-000000000000}">
      <formula1>$B$19:$B$20</formula1>
    </dataValidation>
    <dataValidation type="list" allowBlank="1" showInputMessage="1" showErrorMessage="1" sqref="M20:N23 M16" xr:uid="{00000000-0002-0000-0100-000001000000}">
      <formula1>#REF!</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2746-6B0D-48E6-B6C8-3A73B157D605}">
  <sheetPr>
    <tabColor rgb="FF99FF66"/>
    <pageSetUpPr fitToPage="1"/>
  </sheetPr>
  <dimension ref="A1:AG54"/>
  <sheetViews>
    <sheetView view="pageBreakPreview" topLeftCell="A7" zoomScale="85" zoomScaleNormal="85" zoomScaleSheetLayoutView="85" workbookViewId="0">
      <selection activeCell="I13" sqref="I13"/>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60</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25</v>
      </c>
      <c r="G4" s="168"/>
      <c r="H4" s="168"/>
      <c r="I4" s="137" t="s">
        <v>26</v>
      </c>
      <c r="J4" s="138"/>
      <c r="K4" s="116" t="s">
        <v>1</v>
      </c>
      <c r="L4" s="116" t="s">
        <v>6</v>
      </c>
      <c r="M4" s="116" t="s">
        <v>2</v>
      </c>
      <c r="N4" s="144" t="s">
        <v>10</v>
      </c>
      <c r="O4" s="144" t="s">
        <v>21</v>
      </c>
      <c r="P4" s="116" t="s">
        <v>11</v>
      </c>
      <c r="Q4" s="141" t="s">
        <v>34</v>
      </c>
      <c r="R4" s="116" t="s">
        <v>54</v>
      </c>
      <c r="S4" s="116" t="s">
        <v>35</v>
      </c>
      <c r="T4" s="171" t="s">
        <v>36</v>
      </c>
      <c r="U4" s="173" t="s">
        <v>45</v>
      </c>
      <c r="V4" s="173" t="s">
        <v>15</v>
      </c>
      <c r="W4" s="173" t="s">
        <v>44</v>
      </c>
      <c r="X4" s="176" t="s">
        <v>16</v>
      </c>
      <c r="Y4" s="178" t="s">
        <v>19</v>
      </c>
      <c r="Z4" s="90"/>
    </row>
    <row r="5" spans="1:33" s="15" customFormat="1" ht="30" customHeight="1" thickBot="1" x14ac:dyDescent="0.5">
      <c r="B5" s="148"/>
      <c r="C5" s="150"/>
      <c r="D5" s="150"/>
      <c r="E5" s="170"/>
      <c r="F5" s="139"/>
      <c r="G5" s="175"/>
      <c r="H5" s="175"/>
      <c r="I5" s="139"/>
      <c r="J5" s="140"/>
      <c r="K5" s="143"/>
      <c r="L5" s="143"/>
      <c r="M5" s="143"/>
      <c r="N5" s="145"/>
      <c r="O5" s="145"/>
      <c r="P5" s="146"/>
      <c r="Q5" s="142"/>
      <c r="R5" s="143"/>
      <c r="S5" s="143"/>
      <c r="T5" s="172"/>
      <c r="U5" s="174"/>
      <c r="V5" s="174"/>
      <c r="W5" s="174"/>
      <c r="X5" s="177"/>
      <c r="Y5" s="179"/>
      <c r="Z5" s="90"/>
      <c r="AA5" s="21" t="s">
        <v>27</v>
      </c>
      <c r="AB5" s="21"/>
      <c r="AC5" s="26"/>
      <c r="AD5" s="26"/>
      <c r="AF5" s="68" t="s">
        <v>52</v>
      </c>
      <c r="AG5" s="68" t="s">
        <v>53</v>
      </c>
    </row>
    <row r="6" spans="1:33" s="15" customFormat="1" ht="30" customHeight="1" x14ac:dyDescent="0.45">
      <c r="B6" s="151"/>
      <c r="C6" s="153" t="s">
        <v>39</v>
      </c>
      <c r="D6" s="155" t="s">
        <v>58</v>
      </c>
      <c r="E6" s="31" t="s">
        <v>56</v>
      </c>
      <c r="F6" s="157"/>
      <c r="G6" s="158"/>
      <c r="H6" s="158"/>
      <c r="I6" s="69">
        <v>1</v>
      </c>
      <c r="J6" s="65" t="s">
        <v>24</v>
      </c>
      <c r="K6" s="37">
        <f t="shared" ref="K6:K15" si="0">ROUND($L6*1.1,0)</f>
        <v>22000</v>
      </c>
      <c r="L6" s="40">
        <v>20000</v>
      </c>
      <c r="M6" s="42" t="s">
        <v>7</v>
      </c>
      <c r="N6" s="37">
        <f>O6+P6</f>
        <v>22000</v>
      </c>
      <c r="O6" s="40">
        <v>20000</v>
      </c>
      <c r="P6" s="51">
        <f>INT(O6*0.1)</f>
        <v>2000</v>
      </c>
      <c r="Q6" s="72">
        <f t="shared" ref="Q6" si="1">ROUND(IF($M6=$B$20,$N6,$O6),0)</f>
        <v>22000</v>
      </c>
      <c r="R6" s="79" cm="1">
        <f t="array" ref="R6">_xlfn.IFS($M6=$B$20,$D$20,$M6=$B$19,$D$19,$M6="",0)</f>
        <v>36000</v>
      </c>
      <c r="S6" s="98">
        <f>R6*I6</f>
        <v>36000</v>
      </c>
      <c r="T6" s="52">
        <f>IF($M6=$B$20,MIN(N6,S6),MIN(O6,S6))</f>
        <v>22000</v>
      </c>
      <c r="U6" s="180">
        <f>MIN(AF6:AG6)</f>
        <v>113000</v>
      </c>
      <c r="V6" s="180">
        <f>AF8-U6</f>
        <v>57000</v>
      </c>
      <c r="W6" s="180">
        <f>ROUNDDOWN(T16*AC11/AE11,-3)</f>
        <v>28000</v>
      </c>
      <c r="X6" s="182">
        <f>SUM(U6:W15)</f>
        <v>198000</v>
      </c>
      <c r="Y6" s="189">
        <f>K16-U6-V6-W6</f>
        <v>154000</v>
      </c>
      <c r="Z6" s="93"/>
      <c r="AD6" s="183" t="s">
        <v>28</v>
      </c>
      <c r="AE6" s="184"/>
      <c r="AF6" s="15">
        <f>ROUNDDOWN(T16*1/3,-3)</f>
        <v>113000</v>
      </c>
      <c r="AG6" s="15">
        <f>ROUNDDOWN(AF8*2/3,-3)</f>
        <v>113000</v>
      </c>
    </row>
    <row r="7" spans="1:33" s="15" customFormat="1" ht="30" customHeight="1" thickBot="1" x14ac:dyDescent="0.5">
      <c r="B7" s="151"/>
      <c r="C7" s="153"/>
      <c r="D7" s="155"/>
      <c r="E7" s="193" t="s">
        <v>57</v>
      </c>
      <c r="F7" s="159"/>
      <c r="G7" s="160"/>
      <c r="H7" s="161"/>
      <c r="I7" s="70">
        <v>1</v>
      </c>
      <c r="J7" s="65" t="s">
        <v>24</v>
      </c>
      <c r="K7" s="37">
        <f t="shared" si="0"/>
        <v>22000</v>
      </c>
      <c r="L7" s="40">
        <v>20000</v>
      </c>
      <c r="M7" s="42" t="s">
        <v>4</v>
      </c>
      <c r="N7" s="37">
        <f t="shared" ref="N7:N15" si="2">O7+P7</f>
        <v>22000</v>
      </c>
      <c r="O7" s="40">
        <v>20000</v>
      </c>
      <c r="P7" s="51">
        <f>INT(O7*0.1)</f>
        <v>2000</v>
      </c>
      <c r="Q7" s="72">
        <f>ROUND(IF($M7=$B$20,$N7,$O7),0)</f>
        <v>20000</v>
      </c>
      <c r="R7" s="79" cm="1">
        <f t="array" ref="R7">_xlfn.IFS($M7=$B$20,$D$20,$M7=$B$19,$D$19,$M7="",0)</f>
        <v>32727</v>
      </c>
      <c r="S7" s="79">
        <f t="shared" ref="S7:S15" si="3">R7*I7</f>
        <v>32727</v>
      </c>
      <c r="T7" s="52">
        <f>IF($M7=$B$20,MIN(N7,S7),MIN(O7,S7))</f>
        <v>20000</v>
      </c>
      <c r="U7" s="180"/>
      <c r="V7" s="180"/>
      <c r="W7" s="180"/>
      <c r="X7" s="182"/>
      <c r="Y7" s="189"/>
      <c r="Z7" s="93"/>
    </row>
    <row r="8" spans="1:33" s="15" customFormat="1" ht="30" customHeight="1" x14ac:dyDescent="0.45">
      <c r="B8" s="151"/>
      <c r="C8" s="153"/>
      <c r="D8" s="155"/>
      <c r="E8" s="193" t="s">
        <v>33</v>
      </c>
      <c r="F8" s="159"/>
      <c r="G8" s="160"/>
      <c r="H8" s="161"/>
      <c r="I8" s="70">
        <v>1</v>
      </c>
      <c r="J8" s="65" t="s">
        <v>24</v>
      </c>
      <c r="K8" s="37">
        <f t="shared" si="0"/>
        <v>22000</v>
      </c>
      <c r="L8" s="40">
        <v>20000</v>
      </c>
      <c r="M8" s="42" t="s">
        <v>7</v>
      </c>
      <c r="N8" s="37">
        <f t="shared" si="2"/>
        <v>22000</v>
      </c>
      <c r="O8" s="40">
        <v>20000</v>
      </c>
      <c r="P8" s="51">
        <f t="shared" ref="P8:P15" si="4">INT(O8*0.1)</f>
        <v>2000</v>
      </c>
      <c r="Q8" s="72">
        <f>ROUND(IF($M8=$B$20,$N8,$O8),0)</f>
        <v>22000</v>
      </c>
      <c r="R8" s="79" cm="1">
        <f t="array" ref="R8">_xlfn.IFS($M8=$B$20,$D$20,$M8=$B$19,$D$19,$M8="",0)</f>
        <v>36000</v>
      </c>
      <c r="S8" s="79">
        <f t="shared" si="3"/>
        <v>36000</v>
      </c>
      <c r="T8" s="52">
        <f>IF($M8=$B$20,MIN(N8,S8),MIN(O8,S8))</f>
        <v>22000</v>
      </c>
      <c r="U8" s="180"/>
      <c r="V8" s="180"/>
      <c r="W8" s="180"/>
      <c r="X8" s="182"/>
      <c r="Y8" s="189"/>
      <c r="Z8" s="93"/>
      <c r="AA8" s="167" t="s">
        <v>51</v>
      </c>
      <c r="AB8" s="168"/>
      <c r="AC8" s="84">
        <v>6</v>
      </c>
      <c r="AD8" s="85" t="s">
        <v>30</v>
      </c>
      <c r="AE8" s="86">
        <v>12</v>
      </c>
      <c r="AF8" s="15">
        <f>ROUNDDOWN(T16*AC8/AE8,-3)</f>
        <v>170000</v>
      </c>
    </row>
    <row r="9" spans="1:33" s="15" customFormat="1" ht="30" customHeight="1" thickBot="1" x14ac:dyDescent="0.5">
      <c r="B9" s="151"/>
      <c r="C9" s="153"/>
      <c r="D9" s="155"/>
      <c r="E9" s="193" t="s">
        <v>61</v>
      </c>
      <c r="F9" s="159"/>
      <c r="G9" s="160"/>
      <c r="H9" s="161"/>
      <c r="I9" s="70">
        <v>1</v>
      </c>
      <c r="J9" s="65" t="s">
        <v>24</v>
      </c>
      <c r="K9" s="37">
        <f t="shared" si="0"/>
        <v>22000</v>
      </c>
      <c r="L9" s="40">
        <v>20000</v>
      </c>
      <c r="M9" s="42" t="s">
        <v>7</v>
      </c>
      <c r="N9" s="37">
        <f t="shared" si="2"/>
        <v>22000</v>
      </c>
      <c r="O9" s="40">
        <v>20000</v>
      </c>
      <c r="P9" s="51">
        <f t="shared" si="4"/>
        <v>2000</v>
      </c>
      <c r="Q9" s="72">
        <f>ROUND(IF($M9=$B$20,$N9,$O9),0)</f>
        <v>22000</v>
      </c>
      <c r="R9" s="79" cm="1">
        <f t="array" ref="R9">_xlfn.IFS($M9=$B$20,$D$20,$M9=$B$19,$D$19,$M9="",0)</f>
        <v>36000</v>
      </c>
      <c r="S9" s="79">
        <f t="shared" si="3"/>
        <v>36000</v>
      </c>
      <c r="T9" s="52">
        <f t="shared" ref="T9:T15" si="5">IF($M9=$B$20,MIN(N9,S9),MIN(O9,S9))</f>
        <v>22000</v>
      </c>
      <c r="U9" s="180"/>
      <c r="V9" s="180"/>
      <c r="W9" s="180"/>
      <c r="X9" s="182"/>
      <c r="Y9" s="189"/>
      <c r="Z9" s="93"/>
      <c r="AA9" s="185" t="s">
        <v>29</v>
      </c>
      <c r="AB9" s="186"/>
      <c r="AC9" s="87">
        <v>1</v>
      </c>
      <c r="AD9" s="88" t="s">
        <v>30</v>
      </c>
      <c r="AE9" s="89">
        <v>6</v>
      </c>
    </row>
    <row r="10" spans="1:33" s="15" customFormat="1" ht="30" customHeight="1" thickBot="1" x14ac:dyDescent="0.5">
      <c r="B10" s="151"/>
      <c r="C10" s="153"/>
      <c r="D10" s="155"/>
      <c r="E10" s="193" t="s">
        <v>62</v>
      </c>
      <c r="F10" s="159"/>
      <c r="G10" s="160"/>
      <c r="H10" s="161"/>
      <c r="I10" s="70">
        <v>2</v>
      </c>
      <c r="J10" s="65" t="s">
        <v>24</v>
      </c>
      <c r="K10" s="37">
        <f t="shared" si="0"/>
        <v>44000</v>
      </c>
      <c r="L10" s="40">
        <v>40000</v>
      </c>
      <c r="M10" s="42" t="s">
        <v>7</v>
      </c>
      <c r="N10" s="37">
        <f t="shared" si="2"/>
        <v>44000</v>
      </c>
      <c r="O10" s="40">
        <v>40000</v>
      </c>
      <c r="P10" s="51">
        <f t="shared" si="4"/>
        <v>4000</v>
      </c>
      <c r="Q10" s="72">
        <f>ROUND(IF($M10=$B$20,$N10,$O10),0)</f>
        <v>44000</v>
      </c>
      <c r="R10" s="79" cm="1">
        <f t="array" ref="R10">_xlfn.IFS($M10=$B$20,$D$20,$M10=$B$19,$D$19,$M10="",0)</f>
        <v>36000</v>
      </c>
      <c r="S10" s="79">
        <f t="shared" si="3"/>
        <v>72000</v>
      </c>
      <c r="T10" s="52">
        <f t="shared" si="5"/>
        <v>44000</v>
      </c>
      <c r="U10" s="180"/>
      <c r="V10" s="180"/>
      <c r="W10" s="180"/>
      <c r="X10" s="182"/>
      <c r="Y10" s="189"/>
      <c r="Z10" s="93"/>
    </row>
    <row r="11" spans="1:33" s="15" customFormat="1" ht="30" customHeight="1" thickBot="1" x14ac:dyDescent="0.5">
      <c r="B11" s="151"/>
      <c r="C11" s="153"/>
      <c r="D11" s="155"/>
      <c r="E11" s="193" t="s">
        <v>63</v>
      </c>
      <c r="F11" s="159"/>
      <c r="G11" s="160"/>
      <c r="H11" s="161"/>
      <c r="I11" s="70">
        <v>1</v>
      </c>
      <c r="J11" s="65" t="s">
        <v>24</v>
      </c>
      <c r="K11" s="37">
        <f t="shared" si="0"/>
        <v>22000</v>
      </c>
      <c r="L11" s="40">
        <v>20000</v>
      </c>
      <c r="M11" s="42" t="s">
        <v>7</v>
      </c>
      <c r="N11" s="37">
        <f t="shared" si="2"/>
        <v>22000</v>
      </c>
      <c r="O11" s="40">
        <v>20000</v>
      </c>
      <c r="P11" s="51">
        <f t="shared" si="4"/>
        <v>2000</v>
      </c>
      <c r="Q11" s="72">
        <f t="shared" ref="Q11:Q15" si="6">ROUND(IF($M11=$B$20,$N11,$O11),0)</f>
        <v>22000</v>
      </c>
      <c r="R11" s="79" cm="1">
        <f t="array" ref="R11">_xlfn.IFS($M11=$B$20,$D$20,$M11=$B$19,$D$19,$M11="",0)</f>
        <v>36000</v>
      </c>
      <c r="S11" s="79">
        <f t="shared" si="3"/>
        <v>36000</v>
      </c>
      <c r="T11" s="52">
        <f t="shared" si="5"/>
        <v>22000</v>
      </c>
      <c r="U11" s="180">
        <f>MIN(AF13:AF14)/1000</f>
        <v>0</v>
      </c>
      <c r="V11" s="180">
        <f>MIN(AG13:AG14)/1000</f>
        <v>0</v>
      </c>
      <c r="W11" s="180">
        <f>MIN(AH13:AH14)/1000</f>
        <v>0</v>
      </c>
      <c r="X11" s="182">
        <f>AF11/1000</f>
        <v>0</v>
      </c>
      <c r="Y11" s="189"/>
      <c r="Z11" s="91"/>
      <c r="AA11" s="187" t="s">
        <v>31</v>
      </c>
      <c r="AB11" s="188"/>
      <c r="AC11" s="95">
        <v>1</v>
      </c>
      <c r="AD11" s="96" t="s">
        <v>30</v>
      </c>
      <c r="AE11" s="97">
        <v>12</v>
      </c>
    </row>
    <row r="12" spans="1:33" s="15" customFormat="1" ht="30" customHeight="1" x14ac:dyDescent="0.45">
      <c r="B12" s="151"/>
      <c r="C12" s="153"/>
      <c r="D12" s="155"/>
      <c r="E12" s="193" t="s">
        <v>64</v>
      </c>
      <c r="F12" s="159"/>
      <c r="G12" s="160"/>
      <c r="H12" s="161"/>
      <c r="I12" s="70">
        <v>2</v>
      </c>
      <c r="J12" s="65" t="s">
        <v>24</v>
      </c>
      <c r="K12" s="37">
        <f t="shared" si="0"/>
        <v>44000</v>
      </c>
      <c r="L12" s="40">
        <v>40000</v>
      </c>
      <c r="M12" s="42" t="s">
        <v>7</v>
      </c>
      <c r="N12" s="37">
        <f t="shared" si="2"/>
        <v>44000</v>
      </c>
      <c r="O12" s="40">
        <v>40000</v>
      </c>
      <c r="P12" s="51">
        <f t="shared" si="4"/>
        <v>4000</v>
      </c>
      <c r="Q12" s="72">
        <f t="shared" si="6"/>
        <v>44000</v>
      </c>
      <c r="R12" s="79" cm="1">
        <f t="array" ref="R12">_xlfn.IFS($M12=$B$20,$D$20,$M12=$B$19,$D$19,$M12="",0)</f>
        <v>36000</v>
      </c>
      <c r="S12" s="79">
        <f t="shared" si="3"/>
        <v>72000</v>
      </c>
      <c r="T12" s="52">
        <f t="shared" si="5"/>
        <v>44000</v>
      </c>
      <c r="U12" s="180"/>
      <c r="V12" s="180"/>
      <c r="W12" s="180"/>
      <c r="X12" s="182"/>
      <c r="Y12" s="189"/>
      <c r="Z12" s="91"/>
    </row>
    <row r="13" spans="1:33" s="15" customFormat="1" ht="30" customHeight="1" x14ac:dyDescent="0.45">
      <c r="B13" s="151"/>
      <c r="C13" s="153"/>
      <c r="D13" s="155"/>
      <c r="E13" s="193" t="s">
        <v>65</v>
      </c>
      <c r="F13" s="159"/>
      <c r="G13" s="160"/>
      <c r="H13" s="161"/>
      <c r="I13" s="70">
        <v>2</v>
      </c>
      <c r="J13" s="65" t="s">
        <v>24</v>
      </c>
      <c r="K13" s="37">
        <f t="shared" si="0"/>
        <v>44000</v>
      </c>
      <c r="L13" s="40">
        <v>40000</v>
      </c>
      <c r="M13" s="42" t="s">
        <v>4</v>
      </c>
      <c r="N13" s="37">
        <f t="shared" si="2"/>
        <v>44000</v>
      </c>
      <c r="O13" s="40">
        <v>40000</v>
      </c>
      <c r="P13" s="51">
        <f t="shared" si="4"/>
        <v>4000</v>
      </c>
      <c r="Q13" s="72">
        <f t="shared" si="6"/>
        <v>40000</v>
      </c>
      <c r="R13" s="79" cm="1">
        <f t="array" ref="R13">_xlfn.IFS($M13=$B$20,$D$20,$M13=$B$19,$D$19,$M13="",0)</f>
        <v>32727</v>
      </c>
      <c r="S13" s="79">
        <f t="shared" si="3"/>
        <v>65454</v>
      </c>
      <c r="T13" s="52">
        <f t="shared" si="5"/>
        <v>40000</v>
      </c>
      <c r="U13" s="180"/>
      <c r="V13" s="180"/>
      <c r="W13" s="180"/>
      <c r="X13" s="182"/>
      <c r="Y13" s="189"/>
      <c r="Z13" s="91"/>
    </row>
    <row r="14" spans="1:33" s="15" customFormat="1" ht="30" customHeight="1" x14ac:dyDescent="0.45">
      <c r="B14" s="151"/>
      <c r="C14" s="153"/>
      <c r="D14" s="155"/>
      <c r="E14" s="193" t="s">
        <v>66</v>
      </c>
      <c r="F14" s="159"/>
      <c r="G14" s="160"/>
      <c r="H14" s="161"/>
      <c r="I14" s="70">
        <v>3</v>
      </c>
      <c r="J14" s="65" t="s">
        <v>24</v>
      </c>
      <c r="K14" s="37">
        <f t="shared" si="0"/>
        <v>66000</v>
      </c>
      <c r="L14" s="40">
        <v>60000</v>
      </c>
      <c r="M14" s="42" t="s">
        <v>4</v>
      </c>
      <c r="N14" s="37">
        <f t="shared" si="2"/>
        <v>66000</v>
      </c>
      <c r="O14" s="40">
        <v>60000</v>
      </c>
      <c r="P14" s="51">
        <f t="shared" si="4"/>
        <v>6000</v>
      </c>
      <c r="Q14" s="72">
        <f t="shared" si="6"/>
        <v>60000</v>
      </c>
      <c r="R14" s="79" cm="1">
        <f t="array" ref="R14">_xlfn.IFS($M14=$B$20,$D$20,$M14=$B$19,$D$19,$M14="",0)</f>
        <v>32727</v>
      </c>
      <c r="S14" s="79">
        <f t="shared" si="3"/>
        <v>98181</v>
      </c>
      <c r="T14" s="52">
        <f t="shared" si="5"/>
        <v>60000</v>
      </c>
      <c r="U14" s="180"/>
      <c r="V14" s="180"/>
      <c r="W14" s="180"/>
      <c r="X14" s="182"/>
      <c r="Y14" s="189"/>
      <c r="Z14" s="91"/>
    </row>
    <row r="15" spans="1:33" s="15" customFormat="1" ht="30" customHeight="1" thickBot="1" x14ac:dyDescent="0.5">
      <c r="B15" s="151"/>
      <c r="C15" s="154"/>
      <c r="D15" s="156"/>
      <c r="E15" s="194" t="s">
        <v>67</v>
      </c>
      <c r="F15" s="162"/>
      <c r="G15" s="163"/>
      <c r="H15" s="164"/>
      <c r="I15" s="70">
        <v>2</v>
      </c>
      <c r="J15" s="65" t="s">
        <v>24</v>
      </c>
      <c r="K15" s="37">
        <f t="shared" si="0"/>
        <v>44000</v>
      </c>
      <c r="L15" s="41">
        <v>40000</v>
      </c>
      <c r="M15" s="42" t="s">
        <v>7</v>
      </c>
      <c r="N15" s="37">
        <f t="shared" si="2"/>
        <v>44000</v>
      </c>
      <c r="O15" s="48">
        <v>40000</v>
      </c>
      <c r="P15" s="51">
        <f t="shared" si="4"/>
        <v>4000</v>
      </c>
      <c r="Q15" s="72">
        <f t="shared" si="6"/>
        <v>44000</v>
      </c>
      <c r="R15" s="79" cm="1">
        <f t="array" ref="R15">_xlfn.IFS($M15=$B$20,$D$20,$M15=$B$19,$D$19,$M15="",0)</f>
        <v>36000</v>
      </c>
      <c r="S15" s="98">
        <f t="shared" si="3"/>
        <v>72000</v>
      </c>
      <c r="T15" s="52">
        <f t="shared" si="5"/>
        <v>44000</v>
      </c>
      <c r="U15" s="181"/>
      <c r="V15" s="181"/>
      <c r="W15" s="181"/>
      <c r="X15" s="182"/>
      <c r="Y15" s="190"/>
      <c r="Z15" s="91"/>
    </row>
    <row r="16" spans="1:33" s="15" customFormat="1" ht="20.100000000000001" customHeight="1" thickTop="1" thickBot="1" x14ac:dyDescent="0.5">
      <c r="B16" s="152"/>
      <c r="C16" s="27"/>
      <c r="D16" s="27"/>
      <c r="E16" s="34"/>
      <c r="F16" s="35"/>
      <c r="G16" s="36"/>
      <c r="H16" s="36"/>
      <c r="I16" s="67">
        <f>SUM(I6:I15)</f>
        <v>16</v>
      </c>
      <c r="J16" s="66"/>
      <c r="K16" s="3">
        <f>SUM(K6:K15)</f>
        <v>352000</v>
      </c>
      <c r="L16" s="3">
        <f>SUM(L6:L15)</f>
        <v>320000</v>
      </c>
      <c r="M16" s="43"/>
      <c r="N16" s="46">
        <f>SUM(N6:N15)</f>
        <v>352000</v>
      </c>
      <c r="O16" s="49">
        <f>SUM(O6:O15)</f>
        <v>320000</v>
      </c>
      <c r="P16" s="49">
        <f>SUM(P6:P15)</f>
        <v>32000</v>
      </c>
      <c r="Q16" s="71"/>
      <c r="R16" s="71"/>
      <c r="S16" s="71"/>
      <c r="T16" s="53">
        <f>SUM(T6:T15)</f>
        <v>340000</v>
      </c>
      <c r="U16" s="62"/>
      <c r="V16" s="62"/>
      <c r="W16" s="62"/>
      <c r="X16" s="62"/>
      <c r="Y16" s="64"/>
      <c r="Z16" s="94"/>
      <c r="AA16" s="166">
        <f>X6+Y6</f>
        <v>352000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F15:H15"/>
    <mergeCell ref="AA16:AE16"/>
    <mergeCell ref="O19:O20"/>
    <mergeCell ref="P19:P20"/>
    <mergeCell ref="F10:H10"/>
    <mergeCell ref="F11:H11"/>
    <mergeCell ref="AA11:AB11"/>
    <mergeCell ref="F12:H12"/>
    <mergeCell ref="F13:H13"/>
    <mergeCell ref="F14:H14"/>
    <mergeCell ref="AD6:AE6"/>
    <mergeCell ref="F7:H7"/>
    <mergeCell ref="F8:H8"/>
    <mergeCell ref="AA8:AB8"/>
    <mergeCell ref="F9:H9"/>
    <mergeCell ref="AA9:AB9"/>
    <mergeCell ref="Y4:Y5"/>
    <mergeCell ref="B6:B16"/>
    <mergeCell ref="C6:C15"/>
    <mergeCell ref="D6:D15"/>
    <mergeCell ref="F6:H6"/>
    <mergeCell ref="U6:U15"/>
    <mergeCell ref="V6:V15"/>
    <mergeCell ref="W6:W15"/>
    <mergeCell ref="X6:X15"/>
    <mergeCell ref="Y6:Y15"/>
    <mergeCell ref="S4:S5"/>
    <mergeCell ref="T4:T5"/>
    <mergeCell ref="U4:U5"/>
    <mergeCell ref="V4:V5"/>
    <mergeCell ref="W4:W5"/>
    <mergeCell ref="X4:X5"/>
    <mergeCell ref="R4:R5"/>
    <mergeCell ref="A2:T2"/>
    <mergeCell ref="B3:D3"/>
    <mergeCell ref="B4:B5"/>
    <mergeCell ref="C4:C5"/>
    <mergeCell ref="D4:D5"/>
    <mergeCell ref="E4:E5"/>
    <mergeCell ref="F4:H5"/>
    <mergeCell ref="I4:J5"/>
    <mergeCell ref="K4:K5"/>
    <mergeCell ref="L4:L5"/>
    <mergeCell ref="M4:M5"/>
    <mergeCell ref="N4:N5"/>
    <mergeCell ref="O4:O5"/>
    <mergeCell ref="P4:P5"/>
    <mergeCell ref="Q4:Q5"/>
  </mergeCells>
  <phoneticPr fontId="13"/>
  <dataValidations count="2">
    <dataValidation type="list" allowBlank="1" showInputMessage="1" showErrorMessage="1" sqref="M20:N23 M16" xr:uid="{BB3E373E-B578-43A8-B7E7-18DF93752848}">
      <formula1>#REF!</formula1>
    </dataValidation>
    <dataValidation type="list" allowBlank="1" showInputMessage="1" showErrorMessage="1" sqref="M6:M15" xr:uid="{0A6D9BF4-2CA5-4FC3-B5ED-AA776BBC4E64}">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C614-FEA1-404B-9F43-F6AA485DCD3B}">
  <sheetPr codeName="Sheet3">
    <tabColor rgb="FFFF99FF"/>
    <pageSetUpPr fitToPage="1"/>
  </sheetPr>
  <dimension ref="A1:AG54"/>
  <sheetViews>
    <sheetView view="pageBreakPreview" topLeftCell="A5" zoomScale="85" zoomScaleNormal="85" zoomScaleSheetLayoutView="85" workbookViewId="0">
      <selection activeCell="F8" sqref="F8:G8"/>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2.8984375" style="17" customWidth="1"/>
    <col min="27" max="28" width="3.09765625" style="17" customWidth="1"/>
    <col min="29" max="29" width="2.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35" t="s">
        <v>37</v>
      </c>
      <c r="B2" s="135"/>
      <c r="C2" s="135"/>
      <c r="D2" s="135"/>
      <c r="E2" s="135"/>
      <c r="F2" s="135"/>
      <c r="G2" s="135"/>
      <c r="H2" s="135"/>
      <c r="I2" s="135"/>
      <c r="J2" s="135"/>
      <c r="K2" s="135"/>
      <c r="L2" s="135"/>
      <c r="M2" s="135"/>
      <c r="N2" s="135"/>
      <c r="O2" s="135"/>
      <c r="P2" s="135"/>
      <c r="Q2" s="135"/>
      <c r="R2" s="135"/>
      <c r="S2" s="135"/>
      <c r="T2" s="135"/>
      <c r="U2" s="61"/>
      <c r="V2" s="61"/>
      <c r="W2" s="61"/>
      <c r="X2" s="61"/>
      <c r="Y2" s="61"/>
      <c r="Z2" s="61"/>
    </row>
    <row r="3" spans="1:33" ht="18.75" customHeight="1" thickBot="1" x14ac:dyDescent="0.5">
      <c r="B3" s="136"/>
      <c r="C3" s="136"/>
      <c r="D3" s="136"/>
      <c r="E3" s="22"/>
      <c r="T3" s="29" t="s">
        <v>20</v>
      </c>
      <c r="U3" s="29"/>
      <c r="V3" s="20"/>
      <c r="W3" s="20"/>
      <c r="Y3" s="17" t="s">
        <v>20</v>
      </c>
    </row>
    <row r="4" spans="1:33" ht="41.25" customHeight="1" x14ac:dyDescent="0.45">
      <c r="B4" s="147" t="s">
        <v>8</v>
      </c>
      <c r="C4" s="149" t="s">
        <v>9</v>
      </c>
      <c r="D4" s="169" t="s">
        <v>13</v>
      </c>
      <c r="E4" s="169" t="s">
        <v>22</v>
      </c>
      <c r="F4" s="137" t="s">
        <v>48</v>
      </c>
      <c r="G4" s="168"/>
      <c r="H4" s="138"/>
      <c r="I4" s="137" t="s">
        <v>49</v>
      </c>
      <c r="J4" s="138"/>
      <c r="K4" s="116" t="s">
        <v>1</v>
      </c>
      <c r="L4" s="116" t="s">
        <v>6</v>
      </c>
      <c r="M4" s="116" t="s">
        <v>2</v>
      </c>
      <c r="N4" s="144" t="s">
        <v>10</v>
      </c>
      <c r="O4" s="144" t="s">
        <v>21</v>
      </c>
      <c r="P4" s="116" t="s">
        <v>11</v>
      </c>
      <c r="Q4" s="141" t="s">
        <v>34</v>
      </c>
      <c r="R4" s="116" t="s">
        <v>55</v>
      </c>
      <c r="S4" s="116" t="s">
        <v>35</v>
      </c>
      <c r="T4" s="171" t="s">
        <v>36</v>
      </c>
      <c r="U4" s="173" t="s">
        <v>45</v>
      </c>
      <c r="V4" s="173" t="s">
        <v>15</v>
      </c>
      <c r="W4" s="173" t="s">
        <v>44</v>
      </c>
      <c r="X4" s="176" t="s">
        <v>16</v>
      </c>
      <c r="Y4" s="178" t="s">
        <v>19</v>
      </c>
      <c r="Z4" s="90"/>
    </row>
    <row r="5" spans="1:33" s="15" customFormat="1" ht="30" customHeight="1" thickBot="1" x14ac:dyDescent="0.5">
      <c r="B5" s="148"/>
      <c r="C5" s="150"/>
      <c r="D5" s="150"/>
      <c r="E5" s="170"/>
      <c r="F5" s="139"/>
      <c r="G5" s="175"/>
      <c r="H5" s="140"/>
      <c r="I5" s="139"/>
      <c r="J5" s="140"/>
      <c r="K5" s="143"/>
      <c r="L5" s="143"/>
      <c r="M5" s="143"/>
      <c r="N5" s="145"/>
      <c r="O5" s="145"/>
      <c r="P5" s="146"/>
      <c r="Q5" s="142"/>
      <c r="R5" s="143"/>
      <c r="S5" s="143"/>
      <c r="T5" s="172"/>
      <c r="U5" s="174"/>
      <c r="V5" s="174"/>
      <c r="W5" s="174"/>
      <c r="X5" s="177"/>
      <c r="Y5" s="179"/>
      <c r="Z5" s="90"/>
      <c r="AA5" s="21" t="s">
        <v>27</v>
      </c>
      <c r="AB5" s="21"/>
      <c r="AC5" s="26"/>
      <c r="AD5" s="26"/>
      <c r="AF5" s="68" t="s">
        <v>52</v>
      </c>
      <c r="AG5" s="68" t="s">
        <v>53</v>
      </c>
    </row>
    <row r="6" spans="1:33" s="15" customFormat="1" ht="30" customHeight="1" x14ac:dyDescent="0.45">
      <c r="B6" s="151"/>
      <c r="C6" s="153" t="s">
        <v>39</v>
      </c>
      <c r="D6" s="155" t="s">
        <v>58</v>
      </c>
      <c r="E6" s="31" t="s">
        <v>73</v>
      </c>
      <c r="F6" s="157" t="s">
        <v>74</v>
      </c>
      <c r="G6" s="158"/>
      <c r="H6" s="75">
        <v>1</v>
      </c>
      <c r="I6" s="69">
        <v>1</v>
      </c>
      <c r="J6" s="65" t="s">
        <v>38</v>
      </c>
      <c r="K6" s="37">
        <f t="shared" ref="K6:K13" si="0">ROUND($L6*1.1,0)</f>
        <v>23100</v>
      </c>
      <c r="L6" s="40">
        <v>21000</v>
      </c>
      <c r="M6" s="42" t="s">
        <v>7</v>
      </c>
      <c r="N6" s="37">
        <f>O6+P6</f>
        <v>23100</v>
      </c>
      <c r="O6" s="40">
        <v>21000</v>
      </c>
      <c r="P6" s="51">
        <f>INT(O6*0.1)</f>
        <v>2100</v>
      </c>
      <c r="Q6" s="72">
        <f t="shared" ref="Q6:Q15" si="1">ROUND(IF($M6=$B$20,$N6,$O6),0)</f>
        <v>23100</v>
      </c>
      <c r="R6" s="79" cm="1">
        <f t="array" ref="R6">_xlfn.IFS($M6=$B$20,$D$20,$M6=$B$19,$D$19,$M6="",0)</f>
        <v>24000</v>
      </c>
      <c r="S6" s="98">
        <f>R6*I6</f>
        <v>24000</v>
      </c>
      <c r="T6" s="52">
        <f>IF($M6=$B$20,MIN(N6,S6),MIN(O6,S6))</f>
        <v>23100</v>
      </c>
      <c r="U6" s="180">
        <f>MIN(AF6:AG6)</f>
        <v>21000</v>
      </c>
      <c r="V6" s="180">
        <f>AF8-U6</f>
        <v>11000</v>
      </c>
      <c r="W6" s="180">
        <f>ROUNDDOWN(T16*AC11/AE11,-3)</f>
        <v>5000</v>
      </c>
      <c r="X6" s="182">
        <f>SUM(U6:W15)</f>
        <v>37000</v>
      </c>
      <c r="Y6" s="189">
        <f>K16-U6-V6-W6</f>
        <v>32300</v>
      </c>
      <c r="Z6" s="93"/>
      <c r="AD6" s="183" t="s">
        <v>28</v>
      </c>
      <c r="AE6" s="184"/>
      <c r="AF6" s="15">
        <f>ROUNDDOWN(T16*1/3,-3)</f>
        <v>21000</v>
      </c>
      <c r="AG6" s="15">
        <f>ROUNDDOWN(AF8*2/3,-3)</f>
        <v>21000</v>
      </c>
    </row>
    <row r="7" spans="1:33" s="15" customFormat="1" ht="30" customHeight="1" thickBot="1" x14ac:dyDescent="0.5">
      <c r="B7" s="151"/>
      <c r="C7" s="153"/>
      <c r="D7" s="155"/>
      <c r="E7" s="31" t="s">
        <v>64</v>
      </c>
      <c r="F7" s="159" t="s">
        <v>75</v>
      </c>
      <c r="G7" s="160"/>
      <c r="H7" s="76">
        <v>2</v>
      </c>
      <c r="I7" s="70">
        <v>2</v>
      </c>
      <c r="J7" s="65" t="s">
        <v>38</v>
      </c>
      <c r="K7" s="37">
        <f t="shared" si="0"/>
        <v>46200</v>
      </c>
      <c r="L7" s="40">
        <v>42000</v>
      </c>
      <c r="M7" s="42" t="s">
        <v>4</v>
      </c>
      <c r="N7" s="37">
        <f t="shared" ref="N7:N15" si="2">O7+P7</f>
        <v>46200</v>
      </c>
      <c r="O7" s="40">
        <v>42000</v>
      </c>
      <c r="P7" s="51">
        <f t="shared" ref="P7:P15" si="3">INT(O7*0.1)</f>
        <v>4200</v>
      </c>
      <c r="Q7" s="72">
        <f t="shared" si="1"/>
        <v>42000</v>
      </c>
      <c r="R7" s="79" cm="1">
        <f t="array" ref="R7">_xlfn.IFS($M7=$B$20,$D$20,$M7=$B$19,$D$19,$M7="",0)</f>
        <v>21818</v>
      </c>
      <c r="S7" s="79">
        <f t="shared" ref="S7:S15" si="4">R7*I7</f>
        <v>43636</v>
      </c>
      <c r="T7" s="52">
        <f>IF($M7=$B$20,MIN(N7,S7),MIN(O7,S7))</f>
        <v>42000</v>
      </c>
      <c r="U7" s="180"/>
      <c r="V7" s="180"/>
      <c r="W7" s="180"/>
      <c r="X7" s="182"/>
      <c r="Y7" s="189"/>
      <c r="Z7" s="93"/>
    </row>
    <row r="8" spans="1:33" s="15" customFormat="1" ht="30" customHeight="1" x14ac:dyDescent="0.45">
      <c r="B8" s="151"/>
      <c r="C8" s="153"/>
      <c r="D8" s="155"/>
      <c r="E8" s="31"/>
      <c r="F8" s="159"/>
      <c r="G8" s="160"/>
      <c r="H8" s="76"/>
      <c r="I8" s="70"/>
      <c r="J8" s="65" t="s">
        <v>38</v>
      </c>
      <c r="K8" s="37">
        <f t="shared" si="0"/>
        <v>0</v>
      </c>
      <c r="L8" s="40"/>
      <c r="M8" s="42"/>
      <c r="N8" s="37">
        <f t="shared" si="2"/>
        <v>0</v>
      </c>
      <c r="O8" s="40"/>
      <c r="P8" s="51">
        <f t="shared" si="3"/>
        <v>0</v>
      </c>
      <c r="Q8" s="72">
        <f t="shared" si="1"/>
        <v>0</v>
      </c>
      <c r="R8" s="79" cm="1">
        <f t="array" ref="R8">_xlfn.IFS($M8=$B$20,$D$20,$M8=$B$19,$D$19,$M8="",0)</f>
        <v>0</v>
      </c>
      <c r="S8" s="79">
        <f t="shared" si="4"/>
        <v>0</v>
      </c>
      <c r="T8" s="52">
        <f>IF($M8=$B$20,MIN(N8,S8),MIN(O8,S8))</f>
        <v>0</v>
      </c>
      <c r="U8" s="180"/>
      <c r="V8" s="180"/>
      <c r="W8" s="180"/>
      <c r="X8" s="182"/>
      <c r="Y8" s="189"/>
      <c r="Z8" s="93"/>
      <c r="AA8" s="167" t="s">
        <v>51</v>
      </c>
      <c r="AB8" s="168"/>
      <c r="AC8" s="84">
        <v>6</v>
      </c>
      <c r="AD8" s="85" t="s">
        <v>30</v>
      </c>
      <c r="AE8" s="86">
        <v>12</v>
      </c>
      <c r="AF8" s="15">
        <f>ROUNDDOWN(T16*AC8/AE8,-3)</f>
        <v>32000</v>
      </c>
    </row>
    <row r="9" spans="1:33" s="15" customFormat="1" ht="30" customHeight="1" thickBot="1" x14ac:dyDescent="0.5">
      <c r="B9" s="151"/>
      <c r="C9" s="153"/>
      <c r="D9" s="155"/>
      <c r="E9" s="32"/>
      <c r="F9" s="159"/>
      <c r="G9" s="160"/>
      <c r="H9" s="76"/>
      <c r="I9" s="70"/>
      <c r="J9" s="65" t="s">
        <v>38</v>
      </c>
      <c r="K9" s="37">
        <f t="shared" si="0"/>
        <v>0</v>
      </c>
      <c r="L9" s="40"/>
      <c r="M9" s="42"/>
      <c r="N9" s="37">
        <f t="shared" si="2"/>
        <v>0</v>
      </c>
      <c r="O9" s="40"/>
      <c r="P9" s="51">
        <f t="shared" si="3"/>
        <v>0</v>
      </c>
      <c r="Q9" s="72">
        <f t="shared" si="1"/>
        <v>0</v>
      </c>
      <c r="R9" s="79" cm="1">
        <f t="array" ref="R9">_xlfn.IFS($M9=$B$20,$D$20,$M9=$B$19,$D$19,$M9="",0)</f>
        <v>0</v>
      </c>
      <c r="S9" s="79">
        <f t="shared" si="4"/>
        <v>0</v>
      </c>
      <c r="T9" s="52">
        <f t="shared" ref="T9:T15" si="5">IF($M9=$B$20,MIN(N9,S9),MIN(O9,S9))</f>
        <v>0</v>
      </c>
      <c r="U9" s="180"/>
      <c r="V9" s="180"/>
      <c r="W9" s="180"/>
      <c r="X9" s="182"/>
      <c r="Y9" s="189"/>
      <c r="Z9" s="91"/>
      <c r="AA9" s="185" t="s">
        <v>29</v>
      </c>
      <c r="AB9" s="186"/>
      <c r="AC9" s="87">
        <v>1</v>
      </c>
      <c r="AD9" s="88" t="s">
        <v>30</v>
      </c>
      <c r="AE9" s="89">
        <v>6</v>
      </c>
    </row>
    <row r="10" spans="1:33" s="15" customFormat="1" ht="30" customHeight="1" thickBot="1" x14ac:dyDescent="0.5">
      <c r="B10" s="151"/>
      <c r="C10" s="153"/>
      <c r="D10" s="155"/>
      <c r="E10" s="32"/>
      <c r="F10" s="159"/>
      <c r="G10" s="160"/>
      <c r="H10" s="76"/>
      <c r="I10" s="70"/>
      <c r="J10" s="65" t="s">
        <v>38</v>
      </c>
      <c r="K10" s="37">
        <f t="shared" si="0"/>
        <v>0</v>
      </c>
      <c r="L10" s="40"/>
      <c r="M10" s="42"/>
      <c r="N10" s="37">
        <f t="shared" si="2"/>
        <v>0</v>
      </c>
      <c r="O10" s="40"/>
      <c r="P10" s="51">
        <f t="shared" si="3"/>
        <v>0</v>
      </c>
      <c r="Q10" s="72">
        <f t="shared" si="1"/>
        <v>0</v>
      </c>
      <c r="R10" s="79" cm="1">
        <f t="array" ref="R10">_xlfn.IFS($M10=$B$20,$D$20,$M10=$B$19,$D$19,$M10="",0)</f>
        <v>0</v>
      </c>
      <c r="S10" s="79">
        <f t="shared" si="4"/>
        <v>0</v>
      </c>
      <c r="T10" s="52">
        <f t="shared" si="5"/>
        <v>0</v>
      </c>
      <c r="U10" s="180"/>
      <c r="V10" s="180"/>
      <c r="W10" s="180"/>
      <c r="X10" s="182"/>
      <c r="Y10" s="189"/>
      <c r="Z10" s="91"/>
    </row>
    <row r="11" spans="1:33" s="15" customFormat="1" ht="30" customHeight="1" thickBot="1" x14ac:dyDescent="0.5">
      <c r="B11" s="151"/>
      <c r="C11" s="153"/>
      <c r="D11" s="155"/>
      <c r="E11" s="32"/>
      <c r="F11" s="159"/>
      <c r="G11" s="160"/>
      <c r="H11" s="76"/>
      <c r="I11" s="70"/>
      <c r="J11" s="65" t="s">
        <v>38</v>
      </c>
      <c r="K11" s="37">
        <f t="shared" si="0"/>
        <v>0</v>
      </c>
      <c r="L11" s="40"/>
      <c r="M11" s="42"/>
      <c r="N11" s="37">
        <f t="shared" si="2"/>
        <v>0</v>
      </c>
      <c r="O11" s="40"/>
      <c r="P11" s="51">
        <f t="shared" si="3"/>
        <v>0</v>
      </c>
      <c r="Q11" s="72">
        <f t="shared" si="1"/>
        <v>0</v>
      </c>
      <c r="R11" s="79" cm="1">
        <f t="array" ref="R11">_xlfn.IFS($M11=$B$20,$D$20,$M11=$B$19,$D$19,$M11="",0)</f>
        <v>0</v>
      </c>
      <c r="S11" s="79">
        <f t="shared" si="4"/>
        <v>0</v>
      </c>
      <c r="T11" s="52">
        <f t="shared" si="5"/>
        <v>0</v>
      </c>
      <c r="U11" s="180">
        <f>MIN(AF13:AF14)/1000</f>
        <v>0</v>
      </c>
      <c r="V11" s="180">
        <f>MIN(AG13:AG14)/1000</f>
        <v>0</v>
      </c>
      <c r="W11" s="180">
        <f>MIN(AH13:AH14)/1000</f>
        <v>0</v>
      </c>
      <c r="X11" s="182">
        <f>AF11/1000</f>
        <v>0</v>
      </c>
      <c r="Y11" s="189"/>
      <c r="Z11" s="91"/>
      <c r="AA11" s="187" t="s">
        <v>31</v>
      </c>
      <c r="AB11" s="188"/>
      <c r="AC11" s="95">
        <v>1</v>
      </c>
      <c r="AD11" s="96" t="s">
        <v>30</v>
      </c>
      <c r="AE11" s="97">
        <v>12</v>
      </c>
    </row>
    <row r="12" spans="1:33" s="15" customFormat="1" ht="30" customHeight="1" x14ac:dyDescent="0.45">
      <c r="B12" s="151"/>
      <c r="C12" s="153"/>
      <c r="D12" s="155"/>
      <c r="E12" s="32"/>
      <c r="F12" s="159"/>
      <c r="G12" s="160"/>
      <c r="H12" s="76"/>
      <c r="I12" s="70"/>
      <c r="J12" s="65" t="s">
        <v>38</v>
      </c>
      <c r="K12" s="37">
        <f t="shared" si="0"/>
        <v>0</v>
      </c>
      <c r="L12" s="40"/>
      <c r="M12" s="42"/>
      <c r="N12" s="37">
        <f t="shared" si="2"/>
        <v>0</v>
      </c>
      <c r="O12" s="40"/>
      <c r="P12" s="51">
        <f t="shared" si="3"/>
        <v>0</v>
      </c>
      <c r="Q12" s="72">
        <f t="shared" si="1"/>
        <v>0</v>
      </c>
      <c r="R12" s="79" cm="1">
        <f t="array" ref="R12">_xlfn.IFS($M12=$B$20,$D$20,$M12=$B$19,$D$19,$M12="",0)</f>
        <v>0</v>
      </c>
      <c r="S12" s="79">
        <f t="shared" si="4"/>
        <v>0</v>
      </c>
      <c r="T12" s="52">
        <f t="shared" si="5"/>
        <v>0</v>
      </c>
      <c r="U12" s="180"/>
      <c r="V12" s="180"/>
      <c r="W12" s="180"/>
      <c r="X12" s="182"/>
      <c r="Y12" s="189"/>
      <c r="Z12" s="91"/>
    </row>
    <row r="13" spans="1:33" s="15" customFormat="1" ht="30" customHeight="1" x14ac:dyDescent="0.45">
      <c r="B13" s="151"/>
      <c r="C13" s="153"/>
      <c r="D13" s="155"/>
      <c r="E13" s="32"/>
      <c r="F13" s="159"/>
      <c r="G13" s="160"/>
      <c r="H13" s="76"/>
      <c r="I13" s="70"/>
      <c r="J13" s="65" t="s">
        <v>38</v>
      </c>
      <c r="K13" s="37">
        <f t="shared" si="0"/>
        <v>0</v>
      </c>
      <c r="L13" s="40"/>
      <c r="M13" s="42"/>
      <c r="N13" s="37">
        <f t="shared" si="2"/>
        <v>0</v>
      </c>
      <c r="O13" s="40"/>
      <c r="P13" s="51">
        <f t="shared" si="3"/>
        <v>0</v>
      </c>
      <c r="Q13" s="72">
        <f t="shared" si="1"/>
        <v>0</v>
      </c>
      <c r="R13" s="79" cm="1">
        <f t="array" ref="R13">_xlfn.IFS($M13=$B$20,$D$20,$M13=$B$19,$D$19,$M13="",0)</f>
        <v>0</v>
      </c>
      <c r="S13" s="79">
        <f t="shared" si="4"/>
        <v>0</v>
      </c>
      <c r="T13" s="52">
        <f t="shared" si="5"/>
        <v>0</v>
      </c>
      <c r="U13" s="180"/>
      <c r="V13" s="180"/>
      <c r="W13" s="180"/>
      <c r="X13" s="182"/>
      <c r="Y13" s="189"/>
      <c r="Z13" s="91"/>
    </row>
    <row r="14" spans="1:33" s="15" customFormat="1" ht="30" customHeight="1" x14ac:dyDescent="0.45">
      <c r="B14" s="151"/>
      <c r="C14" s="153"/>
      <c r="D14" s="155"/>
      <c r="E14" s="32"/>
      <c r="F14" s="159"/>
      <c r="G14" s="160"/>
      <c r="H14" s="76"/>
      <c r="I14" s="70"/>
      <c r="J14" s="65" t="s">
        <v>38</v>
      </c>
      <c r="K14" s="37">
        <f>ROUND($L14*1.1,0)</f>
        <v>0</v>
      </c>
      <c r="L14" s="40"/>
      <c r="M14" s="42"/>
      <c r="N14" s="37">
        <f t="shared" si="2"/>
        <v>0</v>
      </c>
      <c r="O14" s="40"/>
      <c r="P14" s="51">
        <f t="shared" si="3"/>
        <v>0</v>
      </c>
      <c r="Q14" s="72">
        <f t="shared" si="1"/>
        <v>0</v>
      </c>
      <c r="R14" s="79" cm="1">
        <f t="array" ref="R14">_xlfn.IFS($M14=$B$20,$D$20,$M14=$B$19,$D$19,$M14="",0)</f>
        <v>0</v>
      </c>
      <c r="S14" s="79">
        <f t="shared" si="4"/>
        <v>0</v>
      </c>
      <c r="T14" s="52">
        <f t="shared" si="5"/>
        <v>0</v>
      </c>
      <c r="U14" s="180"/>
      <c r="V14" s="180"/>
      <c r="W14" s="180"/>
      <c r="X14" s="182"/>
      <c r="Y14" s="189"/>
      <c r="Z14" s="91"/>
    </row>
    <row r="15" spans="1:33" s="15" customFormat="1" ht="30" customHeight="1" thickBot="1" x14ac:dyDescent="0.5">
      <c r="B15" s="151"/>
      <c r="C15" s="154"/>
      <c r="D15" s="156"/>
      <c r="E15" s="33"/>
      <c r="F15" s="159"/>
      <c r="G15" s="160"/>
      <c r="H15" s="77"/>
      <c r="I15" s="70"/>
      <c r="J15" s="65" t="s">
        <v>38</v>
      </c>
      <c r="K15" s="37">
        <f>ROUND($L15*1.1,0)</f>
        <v>0</v>
      </c>
      <c r="L15" s="41"/>
      <c r="M15" s="42"/>
      <c r="N15" s="37">
        <f t="shared" si="2"/>
        <v>0</v>
      </c>
      <c r="O15" s="48"/>
      <c r="P15" s="51">
        <f t="shared" si="3"/>
        <v>0</v>
      </c>
      <c r="Q15" s="72">
        <f t="shared" si="1"/>
        <v>0</v>
      </c>
      <c r="R15" s="79" cm="1">
        <f t="array" ref="R15">_xlfn.IFS($M15=$B$20,$D$20,$M15=$B$19,$D$19,$M15="",0)</f>
        <v>0</v>
      </c>
      <c r="S15" s="98">
        <f t="shared" si="4"/>
        <v>0</v>
      </c>
      <c r="T15" s="52">
        <f t="shared" si="5"/>
        <v>0</v>
      </c>
      <c r="U15" s="181"/>
      <c r="V15" s="181"/>
      <c r="W15" s="181"/>
      <c r="X15" s="182"/>
      <c r="Y15" s="190"/>
      <c r="Z15" s="91"/>
    </row>
    <row r="16" spans="1:33" s="15" customFormat="1" ht="20.100000000000001" customHeight="1" thickTop="1" thickBot="1" x14ac:dyDescent="0.5">
      <c r="B16" s="152"/>
      <c r="C16" s="27"/>
      <c r="D16" s="27"/>
      <c r="E16" s="34"/>
      <c r="F16" s="35"/>
      <c r="G16" s="36"/>
      <c r="H16" s="36"/>
      <c r="I16" s="191">
        <f>SUM(I6:I15)*10</f>
        <v>30</v>
      </c>
      <c r="J16" s="192"/>
      <c r="K16" s="3">
        <f>SUM(K6:K15)</f>
        <v>69300</v>
      </c>
      <c r="L16" s="3">
        <f>SUM(L6:L15)</f>
        <v>63000</v>
      </c>
      <c r="M16" s="43"/>
      <c r="N16" s="46">
        <f>SUM(N6:N15)</f>
        <v>69300</v>
      </c>
      <c r="O16" s="49">
        <f>SUM(O6:O15)</f>
        <v>63000</v>
      </c>
      <c r="P16" s="49">
        <f>SUM(P6:P15)</f>
        <v>6300</v>
      </c>
      <c r="Q16" s="71"/>
      <c r="R16" s="71"/>
      <c r="S16" s="71"/>
      <c r="T16" s="53">
        <f>SUM(T6:T15)</f>
        <v>65100</v>
      </c>
      <c r="U16" s="62"/>
      <c r="V16" s="62"/>
      <c r="W16" s="62"/>
      <c r="X16" s="62"/>
      <c r="Y16" s="64"/>
      <c r="Z16" s="92"/>
      <c r="AA16" s="166">
        <f>X6+Y6</f>
        <v>69300</v>
      </c>
      <c r="AB16" s="166"/>
      <c r="AC16" s="166"/>
      <c r="AD16" s="166"/>
      <c r="AE16" s="166"/>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21818</v>
      </c>
      <c r="E19" s="30"/>
      <c r="J19" s="26"/>
      <c r="K19" s="38"/>
      <c r="L19" s="38"/>
      <c r="M19" s="38"/>
      <c r="N19" s="47"/>
      <c r="O19" s="165"/>
      <c r="P19" s="165"/>
      <c r="Q19" s="47"/>
      <c r="R19" s="47"/>
      <c r="S19" s="47"/>
      <c r="T19" s="56"/>
      <c r="U19" s="54"/>
      <c r="AA19" s="15"/>
      <c r="AB19" s="15"/>
      <c r="AC19" s="15"/>
      <c r="AD19" s="15"/>
    </row>
    <row r="20" spans="2:30" s="20" customFormat="1" x14ac:dyDescent="0.45">
      <c r="B20" s="24" t="s">
        <v>7</v>
      </c>
      <c r="C20" s="30"/>
      <c r="D20" s="30">
        <v>24000</v>
      </c>
      <c r="E20" s="30"/>
      <c r="J20" s="26"/>
      <c r="K20" s="39"/>
      <c r="L20" s="39"/>
      <c r="M20" s="44"/>
      <c r="N20" s="44"/>
      <c r="O20" s="165"/>
      <c r="P20" s="165"/>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9">
    <mergeCell ref="AA16:AE16"/>
    <mergeCell ref="O19:O20"/>
    <mergeCell ref="P19:P20"/>
    <mergeCell ref="W6:W15"/>
    <mergeCell ref="X6:X15"/>
    <mergeCell ref="Y6:Y15"/>
    <mergeCell ref="AD6:AE6"/>
    <mergeCell ref="AA9:AB9"/>
    <mergeCell ref="AA11:AB11"/>
    <mergeCell ref="V6:V15"/>
    <mergeCell ref="AA8:AB8"/>
    <mergeCell ref="B6:B16"/>
    <mergeCell ref="C6:C15"/>
    <mergeCell ref="D6:D15"/>
    <mergeCell ref="U6:U15"/>
    <mergeCell ref="F6:G6"/>
    <mergeCell ref="F7:G7"/>
    <mergeCell ref="F13:G13"/>
    <mergeCell ref="F14:G14"/>
    <mergeCell ref="F15:G15"/>
    <mergeCell ref="I16:J16"/>
    <mergeCell ref="F8:G8"/>
    <mergeCell ref="F9:G9"/>
    <mergeCell ref="F10:G10"/>
    <mergeCell ref="F11:G11"/>
    <mergeCell ref="F12:G12"/>
    <mergeCell ref="Y4:Y5"/>
    <mergeCell ref="M4:M5"/>
    <mergeCell ref="N4:N5"/>
    <mergeCell ref="O4:O5"/>
    <mergeCell ref="P4:P5"/>
    <mergeCell ref="Q4:Q5"/>
    <mergeCell ref="S4:S5"/>
    <mergeCell ref="T4:T5"/>
    <mergeCell ref="U4:U5"/>
    <mergeCell ref="V4:V5"/>
    <mergeCell ref="W4:W5"/>
    <mergeCell ref="X4:X5"/>
    <mergeCell ref="R4:R5"/>
    <mergeCell ref="A2:T2"/>
    <mergeCell ref="B3:D3"/>
    <mergeCell ref="B4:B5"/>
    <mergeCell ref="C4:C5"/>
    <mergeCell ref="D4:D5"/>
    <mergeCell ref="E4:E5"/>
    <mergeCell ref="F4:H5"/>
    <mergeCell ref="I4:J5"/>
    <mergeCell ref="K4:K5"/>
    <mergeCell ref="L4:L5"/>
  </mergeCells>
  <phoneticPr fontId="13"/>
  <dataValidations count="2">
    <dataValidation type="list" allowBlank="1" showInputMessage="1" showErrorMessage="1" sqref="M20:N23 M16" xr:uid="{3593A376-F3F4-4531-AD0A-533F2E36C866}">
      <formula1>#REF!</formula1>
    </dataValidation>
    <dataValidation type="list" allowBlank="1" showInputMessage="1" showErrorMessage="1" sqref="M6:M15" xr:uid="{91182CF8-E563-4A3E-A59C-C66ECBE15076}">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合計</vt:lpstr>
      <vt:lpstr>買取りミツバチ</vt:lpstr>
      <vt:lpstr>リースミツバチ</vt:lpstr>
      <vt:lpstr>輸入花粉</vt:lpstr>
      <vt:lpstr>リースミツバチ!Print_Area</vt:lpstr>
      <vt:lpstr>合計!Print_Area</vt:lpstr>
      <vt:lpstr>買取りミツバチ!Print_Area</vt:lpstr>
      <vt:lpstr>輸入花粉!Print_Area</vt:lpstr>
      <vt:lpstr>リースミツバチ!Print_Titles</vt:lpstr>
      <vt:lpstr>買取りミツバチ!Print_Titles</vt:lpstr>
      <vt:lpstr>輸入花粉!Print_Titles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YG112PC017U</dc:creator>
  <cp:lastModifiedBy>小野寺玲子</cp:lastModifiedBy>
  <cp:lastPrinted>2026-01-26T04:10:18Z</cp:lastPrinted>
  <dcterms:created xsi:type="dcterms:W3CDTF">2025-04-03T07:11:49Z</dcterms:created>
  <dcterms:modified xsi:type="dcterms:W3CDTF">2026-01-26T04:45:58Z</dcterms:modified>
</cp:coreProperties>
</file>